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3136" windowHeight="13056" tabRatio="500"/>
  </bookViews>
  <sheets>
    <sheet name="Base" sheetId="3" r:id="rId1"/>
    <sheet name="Valutazione economica" sheetId="18" r:id="rId2"/>
    <sheet name="Peso animali" sheetId="10" r:id="rId3"/>
    <sheet name="Deiezioni Bovini" sheetId="8" r:id="rId4"/>
    <sheet name="Produzione Biogas" sheetId="5" r:id="rId5"/>
    <sheet name="Tecnico" sheetId="6" r:id="rId6"/>
    <sheet name="Costo investimento" sheetId="11" r:id="rId7"/>
    <sheet name="Tariffe incentivanti base" sheetId="19" r:id="rId8"/>
  </sheets>
  <definedNames>
    <definedName name="_xlnm._FilterDatabase" localSheetId="3" hidden="1">'Deiezioni Bovini'!$A$3:$D$11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0" i="3" l="1"/>
  <c r="B17" i="8"/>
  <c r="B18" i="8"/>
  <c r="B19" i="8"/>
  <c r="B20" i="8"/>
  <c r="B21" i="8"/>
  <c r="B22" i="8"/>
  <c r="B23" i="8"/>
  <c r="B24" i="8"/>
  <c r="B25" i="8"/>
  <c r="D17" i="8"/>
  <c r="D18" i="8"/>
  <c r="D19" i="8"/>
  <c r="D20" i="8"/>
  <c r="D21" i="8"/>
  <c r="D22" i="8"/>
  <c r="D23" i="8"/>
  <c r="D24" i="8"/>
  <c r="D25" i="8"/>
  <c r="F17" i="8"/>
  <c r="F18" i="8"/>
  <c r="F25" i="8" s="1"/>
  <c r="F19" i="8"/>
  <c r="F20" i="8"/>
  <c r="F21" i="8"/>
  <c r="F22" i="8"/>
  <c r="F23" i="8"/>
  <c r="F24" i="8"/>
  <c r="P3" i="5"/>
  <c r="C17" i="8"/>
  <c r="C18" i="8"/>
  <c r="C25" i="8" s="1"/>
  <c r="C19" i="8"/>
  <c r="C20" i="8"/>
  <c r="C21" i="8"/>
  <c r="C22" i="8"/>
  <c r="C23" i="8"/>
  <c r="C24" i="8"/>
  <c r="E17" i="8"/>
  <c r="E18" i="8"/>
  <c r="E25" i="8" s="1"/>
  <c r="E19" i="8"/>
  <c r="E20" i="8"/>
  <c r="E21" i="8"/>
  <c r="E22" i="8"/>
  <c r="E23" i="8"/>
  <c r="E24" i="8"/>
  <c r="G17" i="8"/>
  <c r="G18" i="8"/>
  <c r="G25" i="8" s="1"/>
  <c r="G19" i="8"/>
  <c r="G20" i="8"/>
  <c r="G21" i="8"/>
  <c r="G22" i="8"/>
  <c r="G23" i="8"/>
  <c r="G24" i="8"/>
  <c r="B42" i="3"/>
  <c r="B47" i="3"/>
  <c r="P4" i="5"/>
  <c r="B5" i="6"/>
  <c r="G5" i="6" s="1"/>
  <c r="P5" i="5"/>
  <c r="H5" i="6"/>
  <c r="K5" i="6" s="1"/>
  <c r="N5" i="6" s="1"/>
  <c r="Q5" i="6" s="1"/>
  <c r="T5" i="6" s="1"/>
  <c r="B7" i="6"/>
  <c r="G7" i="6"/>
  <c r="J7" i="6"/>
  <c r="P6" i="5"/>
  <c r="M7" i="6"/>
  <c r="P7" i="6"/>
  <c r="B8" i="6"/>
  <c r="G8" i="6"/>
  <c r="J8" i="6"/>
  <c r="P7" i="5"/>
  <c r="M8" i="6"/>
  <c r="P8" i="6"/>
  <c r="B9" i="6"/>
  <c r="G9" i="6"/>
  <c r="J9" i="6"/>
  <c r="P8" i="5"/>
  <c r="M9" i="6"/>
  <c r="P9" i="6"/>
  <c r="P10" i="6"/>
  <c r="H7" i="6"/>
  <c r="K7" i="6"/>
  <c r="N7" i="6"/>
  <c r="Q7" i="6"/>
  <c r="H8" i="6"/>
  <c r="K8" i="6"/>
  <c r="N8" i="6"/>
  <c r="Q8" i="6"/>
  <c r="H9" i="6"/>
  <c r="K9" i="6"/>
  <c r="N9" i="6"/>
  <c r="Q9" i="6"/>
  <c r="Q10" i="6"/>
  <c r="R10" i="6"/>
  <c r="B22" i="3"/>
  <c r="E4" i="18"/>
  <c r="B10" i="6"/>
  <c r="S7" i="6"/>
  <c r="T7" i="6"/>
  <c r="R7" i="6"/>
  <c r="U7" i="6"/>
  <c r="S8" i="6"/>
  <c r="T8" i="6"/>
  <c r="R8" i="6"/>
  <c r="U8" i="6"/>
  <c r="S9" i="6"/>
  <c r="T9" i="6"/>
  <c r="R9" i="6"/>
  <c r="U9" i="6"/>
  <c r="S10" i="6"/>
  <c r="T10" i="6"/>
  <c r="U10" i="6"/>
  <c r="E9" i="18"/>
  <c r="G9" i="18"/>
  <c r="A30" i="3"/>
  <c r="B41" i="3"/>
  <c r="O7" i="6"/>
  <c r="O8" i="6"/>
  <c r="O9" i="6"/>
  <c r="M10" i="6"/>
  <c r="N10" i="6"/>
  <c r="O10" i="6"/>
  <c r="L7" i="6"/>
  <c r="L8" i="6"/>
  <c r="L9" i="6"/>
  <c r="J10" i="6"/>
  <c r="K10" i="6"/>
  <c r="L10" i="6"/>
  <c r="I7" i="6"/>
  <c r="I8" i="6"/>
  <c r="I9" i="6"/>
  <c r="G10" i="6"/>
  <c r="H10" i="6"/>
  <c r="I10" i="6"/>
  <c r="B46" i="3"/>
  <c r="M5" i="5"/>
  <c r="N5" i="5"/>
  <c r="A47" i="3"/>
  <c r="A46" i="3"/>
  <c r="A42" i="3"/>
  <c r="A41" i="3"/>
  <c r="M6" i="5"/>
  <c r="M7" i="5"/>
  <c r="M8" i="5"/>
  <c r="M4" i="5"/>
  <c r="N4" i="5"/>
  <c r="M3" i="5"/>
  <c r="N3" i="5"/>
  <c r="I5" i="6" l="1"/>
  <c r="J5" i="6"/>
  <c r="B4" i="6"/>
  <c r="H4" i="6" s="1"/>
  <c r="K4" i="6" s="1"/>
  <c r="N4" i="6" s="1"/>
  <c r="Q4" i="6" s="1"/>
  <c r="T4" i="6" s="1"/>
  <c r="B3" i="6"/>
  <c r="H3" i="6"/>
  <c r="G3" i="6"/>
  <c r="G4" i="6"/>
  <c r="M5" i="6" l="1"/>
  <c r="L5" i="6"/>
  <c r="E3" i="6"/>
  <c r="F3" i="6" s="1"/>
  <c r="D3" i="6"/>
  <c r="B6" i="6"/>
  <c r="E4" i="6"/>
  <c r="D4" i="6"/>
  <c r="J3" i="6"/>
  <c r="G6" i="6"/>
  <c r="I3" i="6"/>
  <c r="J4" i="6"/>
  <c r="I4" i="6"/>
  <c r="K3" i="6"/>
  <c r="H6" i="6"/>
  <c r="H11" i="6" s="1"/>
  <c r="P5" i="6" l="1"/>
  <c r="O5" i="6"/>
  <c r="F4" i="6"/>
  <c r="N3" i="6"/>
  <c r="K6" i="6"/>
  <c r="K11" i="6" s="1"/>
  <c r="M4" i="6"/>
  <c r="L4" i="6"/>
  <c r="I6" i="6"/>
  <c r="G11" i="6"/>
  <c r="I11" i="6" s="1"/>
  <c r="M3" i="6"/>
  <c r="J6" i="6"/>
  <c r="L3" i="6"/>
  <c r="S5" i="6" l="1"/>
  <c r="R5" i="6"/>
  <c r="U5" i="6" s="1"/>
  <c r="L6" i="6"/>
  <c r="J11" i="6"/>
  <c r="L11" i="6" s="1"/>
  <c r="P3" i="6"/>
  <c r="M6" i="6"/>
  <c r="O3" i="6"/>
  <c r="P4" i="6"/>
  <c r="O4" i="6"/>
  <c r="N6" i="6"/>
  <c r="N11" i="6" s="1"/>
  <c r="Q3" i="6"/>
  <c r="S4" i="6" l="1"/>
  <c r="R4" i="6"/>
  <c r="U4" i="6" s="1"/>
  <c r="O6" i="6"/>
  <c r="M11" i="6"/>
  <c r="O11" i="6" s="1"/>
  <c r="Q6" i="6"/>
  <c r="T3" i="6"/>
  <c r="P6" i="6"/>
  <c r="R3" i="6"/>
  <c r="U3" i="6" s="1"/>
  <c r="S3" i="6"/>
  <c r="P11" i="6" l="1"/>
  <c r="S6" i="6"/>
  <c r="R6" i="6"/>
  <c r="Q11" i="6"/>
  <c r="T11" i="6" s="1"/>
  <c r="T6" i="6"/>
  <c r="U6" i="6" l="1"/>
  <c r="B4" i="18"/>
  <c r="R11" i="6"/>
  <c r="U11" i="6" s="1"/>
  <c r="D4" i="18" s="1"/>
  <c r="S11" i="6"/>
  <c r="B9" i="18" l="1"/>
  <c r="B13" i="18" s="1"/>
  <c r="C4" i="18"/>
  <c r="F4" i="18"/>
  <c r="E16" i="18"/>
  <c r="E18" i="18"/>
  <c r="E20" i="18"/>
  <c r="E22" i="18"/>
  <c r="E24" i="18"/>
  <c r="E26" i="18"/>
  <c r="E28" i="18"/>
  <c r="E30" i="18"/>
  <c r="E32" i="18"/>
  <c r="E14" i="18"/>
  <c r="E15" i="18"/>
  <c r="E19" i="18"/>
  <c r="E23" i="18"/>
  <c r="E27" i="18"/>
  <c r="E31" i="18"/>
  <c r="E17" i="18"/>
  <c r="E21" i="18"/>
  <c r="E25" i="18"/>
  <c r="E29" i="18"/>
  <c r="E33" i="18"/>
  <c r="C16" i="18" l="1"/>
  <c r="C18" i="18"/>
  <c r="C20" i="18"/>
  <c r="C22" i="18"/>
  <c r="C24" i="18"/>
  <c r="C26" i="18"/>
  <c r="C28" i="18"/>
  <c r="C30" i="18"/>
  <c r="C32" i="18"/>
  <c r="C14" i="18"/>
  <c r="G4" i="18"/>
  <c r="C15" i="18"/>
  <c r="C19" i="18"/>
  <c r="C23" i="18"/>
  <c r="C27" i="18"/>
  <c r="C31" i="18"/>
  <c r="C17" i="18"/>
  <c r="C21" i="18"/>
  <c r="C25" i="18"/>
  <c r="C29" i="18"/>
  <c r="C33" i="18"/>
  <c r="D16" i="18"/>
  <c r="D18" i="18"/>
  <c r="D20" i="18"/>
  <c r="D22" i="18"/>
  <c r="D24" i="18"/>
  <c r="D26" i="18"/>
  <c r="D28" i="18"/>
  <c r="D30" i="18"/>
  <c r="D32" i="18"/>
  <c r="D14" i="18"/>
  <c r="D15" i="18"/>
  <c r="D19" i="18"/>
  <c r="D23" i="18"/>
  <c r="D27" i="18"/>
  <c r="D31" i="18"/>
  <c r="D17" i="18"/>
  <c r="D21" i="18"/>
  <c r="D25" i="18"/>
  <c r="D29" i="18"/>
  <c r="D33" i="18"/>
  <c r="H13" i="18"/>
  <c r="F13" i="18"/>
  <c r="G13" i="18"/>
  <c r="H14" i="18" l="1"/>
  <c r="F14" i="18"/>
  <c r="G14" i="18" s="1"/>
  <c r="F30" i="18"/>
  <c r="G30" i="18" s="1"/>
  <c r="F26" i="18"/>
  <c r="G26" i="18" s="1"/>
  <c r="F22" i="18"/>
  <c r="G22" i="18" s="1"/>
  <c r="F18" i="18"/>
  <c r="G18" i="18" s="1"/>
  <c r="F31" i="18"/>
  <c r="G31" i="18" s="1"/>
  <c r="F29" i="18"/>
  <c r="G29" i="18" s="1"/>
  <c r="F21" i="18"/>
  <c r="G21" i="18" s="1"/>
  <c r="F23" i="18"/>
  <c r="G23" i="18" s="1"/>
  <c r="F15" i="18"/>
  <c r="G15" i="18" s="1"/>
  <c r="H15" i="18" s="1"/>
  <c r="F33" i="18"/>
  <c r="G33" i="18" s="1"/>
  <c r="F25" i="18"/>
  <c r="G25" i="18" s="1"/>
  <c r="F17" i="18"/>
  <c r="G17" i="18" s="1"/>
  <c r="F27" i="18"/>
  <c r="G27" i="18" s="1"/>
  <c r="F19" i="18"/>
  <c r="G19" i="18" s="1"/>
  <c r="F32" i="18"/>
  <c r="G32" i="18" s="1"/>
  <c r="F28" i="18"/>
  <c r="G28" i="18" s="1"/>
  <c r="F24" i="18"/>
  <c r="G24" i="18" s="1"/>
  <c r="F20" i="18"/>
  <c r="G20" i="18" s="1"/>
  <c r="F16" i="18"/>
  <c r="G16" i="18" s="1"/>
  <c r="H16" i="18" l="1"/>
  <c r="H17" i="18" s="1"/>
  <c r="H18" i="18" s="1"/>
  <c r="H19" i="18" s="1"/>
  <c r="H20" i="18" s="1"/>
  <c r="H21" i="18" s="1"/>
  <c r="H22" i="18" s="1"/>
  <c r="H23" i="18" s="1"/>
  <c r="H24" i="18" s="1"/>
  <c r="H25" i="18" s="1"/>
  <c r="H26" i="18" s="1"/>
  <c r="H27" i="18" s="1"/>
  <c r="H28" i="18" s="1"/>
  <c r="H29" i="18" s="1"/>
  <c r="H30" i="18" s="1"/>
  <c r="H31" i="18" s="1"/>
  <c r="H32" i="18" s="1"/>
  <c r="H33" i="18" s="1"/>
</calcChain>
</file>

<file path=xl/sharedStrings.xml><?xml version="1.0" encoding="utf-8"?>
<sst xmlns="http://schemas.openxmlformats.org/spreadsheetml/2006/main" count="264" uniqueCount="151">
  <si>
    <t>Ricavi Energia Elettrica</t>
  </si>
  <si>
    <t>Ricavi Energia Termica</t>
  </si>
  <si>
    <t>Costi Biomassa</t>
  </si>
  <si>
    <t>Costi esercizio fissi annui 
 (€)</t>
  </si>
  <si>
    <t>Ricavo
Energia Elettrica
 (€)</t>
  </si>
  <si>
    <t>Ricavo
Energia Termica
 (€)</t>
  </si>
  <si>
    <t>q</t>
  </si>
  <si>
    <t>n</t>
  </si>
  <si>
    <t>Anno</t>
  </si>
  <si>
    <t>Investimento</t>
  </si>
  <si>
    <t>Flussi di cassa</t>
  </si>
  <si>
    <t>Flusso di cassa attualizzato</t>
  </si>
  <si>
    <t>VAN</t>
  </si>
  <si>
    <t>q^n</t>
  </si>
  <si>
    <t>Costo investimento</t>
  </si>
  <si>
    <t>(kW)</t>
  </si>
  <si>
    <t>(€)</t>
  </si>
  <si>
    <t>30-100</t>
  </si>
  <si>
    <t>100-300</t>
  </si>
  <si>
    <t>300-600</t>
  </si>
  <si>
    <t>600-1000</t>
  </si>
  <si>
    <t>1000-2000</t>
  </si>
  <si>
    <t>Metano</t>
  </si>
  <si>
    <t>-</t>
  </si>
  <si>
    <t>TOTALE</t>
  </si>
  <si>
    <t>Denominazione azienda</t>
  </si>
  <si>
    <t>cereali</t>
  </si>
  <si>
    <t>foraggere</t>
  </si>
  <si>
    <t>insilato mais</t>
  </si>
  <si>
    <t>prato-pascolo</t>
  </si>
  <si>
    <t>altro</t>
  </si>
  <si>
    <t>Numero animali  presenti</t>
  </si>
  <si>
    <t>vacche</t>
  </si>
  <si>
    <t>animali giovani con più di un anno</t>
  </si>
  <si>
    <t>animali giovani con meno di un anno</t>
  </si>
  <si>
    <t>Utilizzo pascolo periodo estivo</t>
  </si>
  <si>
    <t>Quantità di lettiera utilizzata (t)</t>
  </si>
  <si>
    <t>Liquame bovino</t>
  </si>
  <si>
    <t>Letame bovino</t>
  </si>
  <si>
    <t>Materiale</t>
  </si>
  <si>
    <t>Contenuto s.s.</t>
  </si>
  <si>
    <t>Sostanza organica</t>
  </si>
  <si>
    <t>Peso specifico</t>
  </si>
  <si>
    <t>Resa Biogas</t>
  </si>
  <si>
    <t>Biogas</t>
  </si>
  <si>
    <t>(%)</t>
  </si>
  <si>
    <t>% Metano</t>
  </si>
  <si>
    <t>1</t>
  </si>
  <si>
    <t>200</t>
  </si>
  <si>
    <t>260</t>
  </si>
  <si>
    <t>0,3</t>
  </si>
  <si>
    <t>300</t>
  </si>
  <si>
    <t>Sostanza secca (t)</t>
  </si>
  <si>
    <t>Sostanza organica (t)</t>
  </si>
  <si>
    <t>Max</t>
  </si>
  <si>
    <t>Min</t>
  </si>
  <si>
    <t>Letame</t>
  </si>
  <si>
    <t>Liquame</t>
  </si>
  <si>
    <t>P.C.I. (Mwh)</t>
  </si>
  <si>
    <t>Potenza elettrica potenziale (kwe)</t>
  </si>
  <si>
    <t>Tipo di allevamento</t>
  </si>
  <si>
    <t>Area coltivata (ha)</t>
  </si>
  <si>
    <t>Colture dedicate alla produzione di biogas (ha)</t>
  </si>
  <si>
    <t>Si</t>
  </si>
  <si>
    <t>No</t>
  </si>
  <si>
    <t>Tipo di stabulazione</t>
  </si>
  <si>
    <t>Su lettiera permanente</t>
  </si>
  <si>
    <t>Libera con cuccette (groppa a groppa)</t>
  </si>
  <si>
    <t>Libere con cuccette (testa a testa)</t>
  </si>
  <si>
    <t>Libera con cuccette con lettiera a paglia totale</t>
  </si>
  <si>
    <t>Cuccette con materassino a tappetto in gomma con lettiera</t>
  </si>
  <si>
    <t>Cuccette con materassino a tappetto in gomma senza lettiera</t>
  </si>
  <si>
    <t>Libera su lettiera inclinata</t>
  </si>
  <si>
    <t>Grigliato</t>
  </si>
  <si>
    <t>600</t>
  </si>
  <si>
    <t>560</t>
  </si>
  <si>
    <t>Categoria di animali</t>
  </si>
  <si>
    <r>
      <t>P.C.I. (MJ/m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</si>
  <si>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Vacche</t>
  </si>
  <si>
    <t>Bovini con più di un anno</t>
  </si>
  <si>
    <t>Bovini con meno di un anno</t>
  </si>
  <si>
    <t>Insilato di mais</t>
  </si>
  <si>
    <t>Insilato d'erba</t>
  </si>
  <si>
    <t>Insilato di grano</t>
  </si>
  <si>
    <t>Numero di mesi di pascolo estivo</t>
  </si>
  <si>
    <t>Bovini da latte</t>
  </si>
  <si>
    <t>Bovini da latte e carne</t>
  </si>
  <si>
    <t>Bovini da carne</t>
  </si>
  <si>
    <t>La stessa per l'intera stalla</t>
  </si>
  <si>
    <t>Divirsificata per tipo di animale</t>
  </si>
  <si>
    <t>Tipo di stalla</t>
  </si>
  <si>
    <t>Animale</t>
  </si>
  <si>
    <t>Categoria</t>
  </si>
  <si>
    <t>Bovino</t>
  </si>
  <si>
    <t>&lt;1 anno</t>
  </si>
  <si>
    <t>1-2 anni</t>
  </si>
  <si>
    <t>&gt;2 anni</t>
  </si>
  <si>
    <t>Peso (t/capo)</t>
  </si>
  <si>
    <t>Produzione di deiezioni zootecniche in relazione alla tipologia di stabulazione (t/t.p.v./anno)</t>
  </si>
  <si>
    <t>Produzione di deiezioni zootecniche nella stalla di riferimento (t/anno)</t>
  </si>
  <si>
    <t>Deiezioni importate in azienda (t)</t>
  </si>
  <si>
    <t>Deiezioni esportate dall'azienda (t)</t>
  </si>
  <si>
    <t>Quantità (t)</t>
  </si>
  <si>
    <t>(t/ha)</t>
  </si>
  <si>
    <t>Produzione</t>
  </si>
  <si>
    <t>stocchi di mais</t>
  </si>
  <si>
    <t>Stocchi di mais</t>
  </si>
  <si>
    <r>
      <t>(t/m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</si>
  <si>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/t s.o.)</t>
    </r>
  </si>
  <si>
    <r>
      <t>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/t t.q.)</t>
    </r>
  </si>
  <si>
    <r>
      <t>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t.q.)</t>
    </r>
  </si>
  <si>
    <r>
      <t>P.C.I. (MJ/m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</si>
  <si>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Liquame bovino</t>
    </r>
    <r>
      <rPr>
        <b/>
        <vertAlign val="superscript"/>
        <sz val="10"/>
        <rFont val="Arial"/>
        <family val="2"/>
      </rPr>
      <t>(1)</t>
    </r>
  </si>
  <si>
    <r>
      <t>Letame bovino</t>
    </r>
    <r>
      <rPr>
        <b/>
        <vertAlign val="superscript"/>
        <sz val="10"/>
        <rFont val="Arial"/>
        <family val="2"/>
      </rPr>
      <t>(1)</t>
    </r>
  </si>
  <si>
    <r>
      <t>Stocchi mais</t>
    </r>
    <r>
      <rPr>
        <b/>
        <vertAlign val="superscript"/>
        <sz val="10"/>
        <rFont val="Arial"/>
        <family val="2"/>
      </rPr>
      <t>(1)</t>
    </r>
  </si>
  <si>
    <r>
      <t>Insilato di mais</t>
    </r>
    <r>
      <rPr>
        <b/>
        <vertAlign val="superscript"/>
        <sz val="10"/>
        <rFont val="Arial"/>
        <family val="2"/>
      </rPr>
      <t>(2)</t>
    </r>
  </si>
  <si>
    <r>
      <t>Insilato d'erba</t>
    </r>
    <r>
      <rPr>
        <b/>
        <vertAlign val="superscript"/>
        <sz val="10"/>
        <rFont val="Arial"/>
        <family val="2"/>
      </rPr>
      <t>(2)</t>
    </r>
  </si>
  <si>
    <r>
      <t>Insilato grano</t>
    </r>
    <r>
      <rPr>
        <b/>
        <vertAlign val="superscript"/>
        <sz val="10"/>
        <rFont val="Arial"/>
        <family val="2"/>
      </rPr>
      <t>(2)</t>
    </r>
  </si>
  <si>
    <t>Totale sottoprodotti</t>
  </si>
  <si>
    <t>Totale colture dedicate</t>
  </si>
  <si>
    <t>(1) Fonte Giraldi
(2) Fonte C.R.P.A.</t>
  </si>
  <si>
    <t>Costo
(€/t)</t>
  </si>
  <si>
    <t>Costi Gestione</t>
  </si>
  <si>
    <t>Costo Totale</t>
  </si>
  <si>
    <t>Indice</t>
  </si>
  <si>
    <t xml:space="preserve">Tasso di interesse </t>
  </si>
  <si>
    <t xml:space="preserve"> (€)</t>
  </si>
  <si>
    <t xml:space="preserve">Indice di attualizzazione pari al tasso di inflazione </t>
  </si>
  <si>
    <t>,</t>
  </si>
  <si>
    <t>Valore</t>
  </si>
  <si>
    <t xml:space="preserve"> (%)</t>
  </si>
  <si>
    <t>Media</t>
  </si>
  <si>
    <r>
      <t>Biogas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</si>
  <si>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Prodotto</t>
  </si>
  <si>
    <t>Potenza termica richiesta (kW)</t>
  </si>
  <si>
    <t>Ore funzionamento impianto termico (ore/anno)</t>
  </si>
  <si>
    <t>Potenza elettrica</t>
  </si>
  <si>
    <t>PotenzaTermica potenziale (kwt)</t>
  </si>
  <si>
    <t xml:space="preserve">1&lt;P≤300 </t>
  </si>
  <si>
    <t>300&lt;P≤600</t>
  </si>
  <si>
    <t>600&lt;P≤1000</t>
  </si>
  <si>
    <t>1000&lt;P≤5000</t>
  </si>
  <si>
    <t>P&gt;5000</t>
  </si>
  <si>
    <t>Potenza (kW)</t>
  </si>
  <si>
    <t>(€/kWe)</t>
  </si>
  <si>
    <t>Tipologia</t>
  </si>
  <si>
    <t>Tariffa incentivante base</t>
  </si>
  <si>
    <t>Fonte rinnovabile</t>
  </si>
  <si>
    <t xml:space="preserve"> Prodotti di origine biologica</t>
  </si>
  <si>
    <t>Sottoprodotti di origine biologica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</si>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</sst>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0.0%"/>
    <numFmt numFmtId="165" formatCode="0.0"/>
    <numFmt numFmtId="166" formatCode="#,##0.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/>
      <sz val="10"/>
      <color theme="11"/>
      <name val="Arial"/>
      <family val="2"/>
    </font>
    <font>
      <sz val="14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u/>
      <sz val="10"/>
      <name val="Arial"/>
      <family val="2"/>
    </font>
    <font>
      <b/>
      <sz val="10"/>
      <color theme="6" tint="-0.499984740745262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2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41" fontId="1" fillId="0" borderId="0" applyFont="0" applyFill="0" applyBorder="0" applyAlignment="0" applyProtection="0"/>
    <xf numFmtId="0" fontId="10" fillId="0" borderId="0"/>
    <xf numFmtId="0" fontId="1" fillId="0" borderId="0"/>
    <xf numFmtId="0" fontId="11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3" borderId="10" xfId="0" applyFont="1" applyFill="1" applyBorder="1" applyAlignment="1" applyProtection="1">
      <alignment horizontal="left" vertical="center" indent="1"/>
    </xf>
    <xf numFmtId="0" fontId="0" fillId="6" borderId="0" xfId="0" applyFill="1"/>
    <xf numFmtId="0" fontId="12" fillId="6" borderId="0" xfId="0" applyFont="1" applyFill="1"/>
    <xf numFmtId="0" fontId="2" fillId="3" borderId="10" xfId="0" applyFont="1" applyFill="1" applyBorder="1" applyAlignment="1" applyProtection="1">
      <alignment horizontal="left" vertical="center" indent="2"/>
    </xf>
    <xf numFmtId="0" fontId="0" fillId="0" borderId="0" xfId="0" applyNumberFormat="1" applyFont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3" borderId="10" xfId="0" applyFont="1" applyFill="1" applyBorder="1" applyAlignment="1" applyProtection="1">
      <alignment horizontal="left" vertical="center" indent="1"/>
    </xf>
    <xf numFmtId="0" fontId="8" fillId="0" borderId="5" xfId="0" applyFont="1" applyBorder="1" applyAlignment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vertical="center"/>
    </xf>
    <xf numFmtId="0" fontId="0" fillId="6" borderId="0" xfId="0" applyFill="1" applyAlignment="1">
      <alignment horizontal="left" vertical="center" indent="2"/>
    </xf>
    <xf numFmtId="0" fontId="0" fillId="6" borderId="0" xfId="0" applyFill="1" applyAlignment="1">
      <alignment horizontal="center" vertical="center"/>
    </xf>
    <xf numFmtId="164" fontId="0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left" vertical="center"/>
    </xf>
    <xf numFmtId="166" fontId="0" fillId="0" borderId="0" xfId="0" applyNumberFormat="1" applyFont="1" applyBorder="1" applyAlignment="1">
      <alignment horizontal="right" vertical="center"/>
    </xf>
    <xf numFmtId="166" fontId="0" fillId="0" borderId="0" xfId="0" applyNumberFormat="1" applyFont="1" applyBorder="1" applyAlignment="1">
      <alignment horizontal="left" vertical="center"/>
    </xf>
    <xf numFmtId="0" fontId="2" fillId="7" borderId="10" xfId="0" applyFont="1" applyFill="1" applyBorder="1" applyAlignment="1" applyProtection="1">
      <alignment horizontal="left" vertical="center" indent="2"/>
    </xf>
    <xf numFmtId="0" fontId="2" fillId="7" borderId="8" xfId="0" applyFont="1" applyFill="1" applyBorder="1" applyAlignment="1" applyProtection="1">
      <alignment horizontal="left" vertical="center" indent="1"/>
    </xf>
    <xf numFmtId="0" fontId="2" fillId="7" borderId="10" xfId="0" applyFont="1" applyFill="1" applyBorder="1" applyAlignment="1" applyProtection="1">
      <alignment horizontal="left" vertical="center" indent="1"/>
    </xf>
    <xf numFmtId="0" fontId="13" fillId="8" borderId="10" xfId="0" applyFont="1" applyFill="1" applyBorder="1" applyAlignment="1" applyProtection="1">
      <alignment horizontal="center" vertical="center"/>
      <protection locked="0"/>
    </xf>
    <xf numFmtId="3" fontId="2" fillId="9" borderId="5" xfId="0" applyNumberFormat="1" applyFont="1" applyFill="1" applyBorder="1" applyAlignment="1">
      <alignment horizontal="center" vertical="center"/>
    </xf>
    <xf numFmtId="3" fontId="2" fillId="9" borderId="6" xfId="0" applyNumberFormat="1" applyFont="1" applyFill="1" applyBorder="1" applyAlignment="1">
      <alignment horizontal="center" vertical="center"/>
    </xf>
    <xf numFmtId="3" fontId="2" fillId="9" borderId="6" xfId="1" applyNumberFormat="1" applyFont="1" applyFill="1" applyBorder="1" applyAlignment="1">
      <alignment horizontal="center" vertical="center"/>
    </xf>
    <xf numFmtId="0" fontId="2" fillId="9" borderId="6" xfId="0" applyFont="1" applyFill="1" applyBorder="1"/>
    <xf numFmtId="3" fontId="4" fillId="9" borderId="6" xfId="1" applyNumberFormat="1" applyFont="1" applyFill="1" applyBorder="1" applyAlignment="1">
      <alignment horizontal="center" vertical="center"/>
    </xf>
    <xf numFmtId="3" fontId="2" fillId="9" borderId="0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166" fontId="0" fillId="0" borderId="7" xfId="0" applyNumberFormat="1" applyFont="1" applyBorder="1" applyAlignment="1">
      <alignment horizontal="center" vertical="center"/>
    </xf>
    <xf numFmtId="166" fontId="2" fillId="0" borderId="9" xfId="0" applyNumberFormat="1" applyFont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13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Alignment="1" applyProtection="1">
      <alignment horizontal="center"/>
      <protection hidden="1"/>
    </xf>
    <xf numFmtId="0" fontId="0" fillId="6" borderId="0" xfId="0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3" fontId="14" fillId="0" borderId="4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0" fillId="0" borderId="0" xfId="0" applyNumberFormat="1" applyFont="1"/>
    <xf numFmtId="3" fontId="0" fillId="9" borderId="1" xfId="0" applyNumberFormat="1" applyFont="1" applyFill="1" applyBorder="1" applyAlignment="1">
      <alignment horizontal="center" vertical="center"/>
    </xf>
    <xf numFmtId="3" fontId="2" fillId="8" borderId="3" xfId="0" applyNumberFormat="1" applyFont="1" applyFill="1" applyBorder="1" applyAlignment="1">
      <alignment horizontal="center" vertical="center"/>
    </xf>
    <xf numFmtId="0" fontId="0" fillId="6" borderId="0" xfId="0" applyFont="1" applyFill="1" applyBorder="1"/>
    <xf numFmtId="0" fontId="3" fillId="6" borderId="0" xfId="0" applyFont="1" applyFill="1" applyBorder="1"/>
    <xf numFmtId="0" fontId="0" fillId="6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vertical="center"/>
    </xf>
    <xf numFmtId="3" fontId="2" fillId="6" borderId="0" xfId="0" applyNumberFormat="1" applyFont="1" applyFill="1" applyBorder="1" applyAlignment="1">
      <alignment horizontal="center" vertical="center"/>
    </xf>
    <xf numFmtId="3" fontId="2" fillId="8" borderId="3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indent="1"/>
    </xf>
    <xf numFmtId="0" fontId="2" fillId="0" borderId="3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82">
    <cellStyle name="60% - Colore1 2" xfId="7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" xfId="74" builtinId="8" hidden="1"/>
    <cellStyle name="Collegamento ipertestuale" xfId="76" builtinId="8" hidden="1"/>
    <cellStyle name="Collegamento ipertestuale" xfId="78" builtinId="8" hidden="1"/>
    <cellStyle name="Collegamento ipertestuale" xfId="80" builtinId="8" hidden="1"/>
    <cellStyle name="Collegamento ipertestuale visitato" xfId="2" builtinId="9" hidden="1"/>
    <cellStyle name="Collegamento ipertestuale visitato" xfId="3" builtinId="9" hidden="1"/>
    <cellStyle name="Collegamento ipertestuale visitato" xfId="4" builtinId="9" hidden="1"/>
    <cellStyle name="Collegamento ipertestuale visitato" xfId="5" builtinId="9" hidden="1"/>
    <cellStyle name="Collegamento ipertestuale visitato" xfId="6" builtinId="9" hidden="1"/>
    <cellStyle name="Collegamento ipertestuale visitato" xfId="13" builtinId="9" hidden="1"/>
    <cellStyle name="Collegamento ipertestuale visitato" xfId="14" builtinId="9" hidden="1"/>
    <cellStyle name="Collegamento ipertestuale visitato" xfId="15" builtinId="9" hidden="1"/>
    <cellStyle name="Collegamento ipertestuale visitato" xfId="16" builtinId="9" hidden="1"/>
    <cellStyle name="Collegamento ipertestuale visitato" xfId="17" builtinId="9" hidden="1"/>
    <cellStyle name="Collegamento ipertestuale visitato" xfId="18" builtinId="9" hidden="1"/>
    <cellStyle name="Collegamento ipertestuale visitato" xfId="19" builtinId="9" hidden="1"/>
    <cellStyle name="Collegamento ipertestuale visitato" xfId="20" builtinId="9" hidden="1"/>
    <cellStyle name="Collegamento ipertestuale visitato" xfId="21" builtinId="9" hidden="1"/>
    <cellStyle name="Collegamento ipertestuale visitato" xfId="22" builtinId="9" hidden="1"/>
    <cellStyle name="Collegamento ipertestuale visitato" xfId="23" builtinId="9" hidden="1"/>
    <cellStyle name="Collegamento ipertestuale visitato" xfId="24" builtinId="9" hidden="1"/>
    <cellStyle name="Collegamento ipertestuale visitato" xfId="25" builtinId="9" hidden="1"/>
    <cellStyle name="Collegamento ipertestuale visitato" xfId="26" builtinId="9" hidden="1"/>
    <cellStyle name="Collegamento ipertestuale visitato" xfId="27" builtinId="9" hidden="1"/>
    <cellStyle name="Collegamento ipertestuale visitato" xfId="28" builtinId="9" hidden="1"/>
    <cellStyle name="Collegamento ipertestuale visitato" xfId="29" builtinId="9" hidden="1"/>
    <cellStyle name="Collegamento ipertestuale visitato" xfId="30" builtinId="9" hidden="1"/>
    <cellStyle name="Collegamento ipertestuale visitato" xfId="31" builtinId="9" hidden="1"/>
    <cellStyle name="Collegamento ipertestuale visitato" xfId="32" builtinId="9" hidden="1"/>
    <cellStyle name="Collegamento ipertestuale visitato" xfId="33" builtinId="9" hidden="1"/>
    <cellStyle name="Collegamento ipertestuale visitato" xfId="34" builtinId="9" hidden="1"/>
    <cellStyle name="Collegamento ipertestuale visitato" xfId="35" builtinId="9" hidden="1"/>
    <cellStyle name="Collegamento ipertestuale visitato" xfId="36" builtinId="9" hidden="1"/>
    <cellStyle name="Collegamento ipertestuale visitato" xfId="37" builtinId="9" hidden="1"/>
    <cellStyle name="Collegamento ipertestuale visitato" xfId="38" builtinId="9" hidden="1"/>
    <cellStyle name="Collegamento ipertestuale visitato" xfId="39" builtinId="9" hidden="1"/>
    <cellStyle name="Collegamento ipertestuale visitato" xfId="40" builtinId="9" hidden="1"/>
    <cellStyle name="Collegamento ipertestuale visitato" xfId="41" builtinId="9" hidden="1"/>
    <cellStyle name="Collegamento ipertestuale visitato" xfId="42" builtinId="9" hidden="1"/>
    <cellStyle name="Collegamento ipertestuale visitato" xfId="43" builtinId="9" hidden="1"/>
    <cellStyle name="Collegamento ipertestuale visitato" xfId="44" builtinId="9" hidden="1"/>
    <cellStyle name="Collegamento ipertestuale visitato" xfId="45" builtinId="9" hidden="1"/>
    <cellStyle name="Collegamento ipertestuale visitato" xfId="46" builtinId="9" hidden="1"/>
    <cellStyle name="Collegamento ipertestuale visitato" xfId="47" builtinId="9" hidden="1"/>
    <cellStyle name="Collegamento ipertestuale visitato" xfId="48" builtinId="9" hidden="1"/>
    <cellStyle name="Collegamento ipertestuale visitato" xfId="49" builtinId="9" hidden="1"/>
    <cellStyle name="Collegamento ipertestuale visitato" xfId="50" builtinId="9" hidden="1"/>
    <cellStyle name="Collegamento ipertestuale visitato" xfId="51" builtinId="9" hidden="1"/>
    <cellStyle name="Collegamento ipertestuale visitato" xfId="52" builtinId="9" hidden="1"/>
    <cellStyle name="Collegamento ipertestuale visitato" xfId="53" builtinId="9" hidden="1"/>
    <cellStyle name="Collegamento ipertestuale visitato" xfId="54" builtinId="9" hidden="1"/>
    <cellStyle name="Collegamento ipertestuale visitato" xfId="55" builtinId="9" hidden="1"/>
    <cellStyle name="Collegamento ipertestuale visitato" xfId="56" builtinId="9" hidden="1"/>
    <cellStyle name="Collegamento ipertestuale visitato" xfId="57" builtinId="9" hidden="1"/>
    <cellStyle name="Collegamento ipertestuale visitato" xfId="58" builtinId="9" hidden="1"/>
    <cellStyle name="Collegamento ipertestuale visitato" xfId="59" builtinId="9" hidden="1"/>
    <cellStyle name="Collegamento ipertestuale visitato" xfId="60" builtinId="9" hidden="1"/>
    <cellStyle name="Collegamento ipertestuale visitato" xfId="61" builtinId="9" hidden="1"/>
    <cellStyle name="Collegamento ipertestuale visitato" xfId="62" builtinId="9" hidden="1"/>
    <cellStyle name="Collegamento ipertestuale visitato" xfId="63" builtinId="9" hidden="1"/>
    <cellStyle name="Collegamento ipertestuale visitato" xfId="65" builtinId="9" hidden="1"/>
    <cellStyle name="Collegamento ipertestuale visitato" xfId="67" builtinId="9" hidden="1"/>
    <cellStyle name="Collegamento ipertestuale visitato" xfId="69" builtinId="9" hidden="1"/>
    <cellStyle name="Collegamento ipertestuale visitato" xfId="71" builtinId="9" hidden="1"/>
    <cellStyle name="Collegamento ipertestuale visitato" xfId="73" builtinId="9" hidden="1"/>
    <cellStyle name="Collegamento ipertestuale visitato" xfId="75" builtinId="9" hidden="1"/>
    <cellStyle name="Collegamento ipertestuale visitato" xfId="77" builtinId="9" hidden="1"/>
    <cellStyle name="Collegamento ipertestuale visitato" xfId="79" builtinId="9" hidden="1"/>
    <cellStyle name="Collegamento ipertestuale visitato" xfId="81" builtinId="9" hidden="1"/>
    <cellStyle name="Colore3 2" xfId="8"/>
    <cellStyle name="Migliaia [0] 2" xfId="9"/>
    <cellStyle name="Normale" xfId="0" builtinId="0"/>
    <cellStyle name="Normale 2" xfId="10"/>
    <cellStyle name="Normale 2 2" xfId="11"/>
    <cellStyle name="Normale 5" xfId="12"/>
    <cellStyle name="Percentuale 2" xfId="1"/>
  </cellStyles>
  <dxfs count="6">
    <dxf>
      <font>
        <b/>
        <i val="0"/>
        <color theme="6" tint="-0.499984740745262"/>
      </font>
      <fill>
        <patternFill patternType="solid">
          <fgColor indexed="64"/>
          <bgColor rgb="FFFFCC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 patternType="solid">
          <fgColor indexed="64"/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6" tint="-0.499984740745262"/>
      </font>
      <fill>
        <patternFill patternType="solid">
          <fgColor indexed="64"/>
          <bgColor rgb="FFFFCC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6" tint="-0.499984740745262"/>
      </font>
      <fill>
        <patternFill patternType="solid">
          <fgColor indexed="64"/>
          <bgColor rgb="FFFFCC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 patternType="solid">
          <fgColor indexed="64"/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 patternType="solid">
          <fgColor indexed="64"/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Medium4"/>
  <colors>
    <mruColors>
      <color rgb="FF336600"/>
      <color rgb="FF009900"/>
      <color rgb="FFFFFF99"/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Valore Attuale Netto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val>
            <c:numRef>
              <c:f>'Valutazione economica'!$H$13:$H$33</c:f>
              <c:numCache>
                <c:formatCode>#,##0</c:formatCode>
                <c:ptCount val="21"/>
                <c:pt idx="0">
                  <c:v>0</c:v>
                </c:pt>
                <c:pt idx="1">
                  <c:v>-14685.714285714284</c:v>
                </c:pt>
                <c:pt idx="2">
                  <c:v>-29063.727891156457</c:v>
                </c:pt>
                <c:pt idx="3">
                  <c:v>-43140.487878198888</c:v>
                </c:pt>
                <c:pt idx="4">
                  <c:v>-56922.306227417575</c:v>
                </c:pt>
                <c:pt idx="5">
                  <c:v>-70415.362668366914</c:v>
                </c:pt>
                <c:pt idx="6">
                  <c:v>-83625.707450553513</c:v>
                </c:pt>
                <c:pt idx="7">
                  <c:v>-96559.264056351443</c:v>
                </c:pt>
                <c:pt idx="8">
                  <c:v>-109221.83185707551</c:v>
                </c:pt>
                <c:pt idx="9">
                  <c:v>-121619.08871340344</c:v>
                </c:pt>
                <c:pt idx="10">
                  <c:v>-133756.59352131307</c:v>
                </c:pt>
                <c:pt idx="11">
                  <c:v>-145639.78870467603</c:v>
                </c:pt>
                <c:pt idx="12">
                  <c:v>-157274.00265562566</c:v>
                </c:pt>
                <c:pt idx="13">
                  <c:v>-168664.45212379351</c:v>
                </c:pt>
                <c:pt idx="14">
                  <c:v>-179816.24455548546</c:v>
                </c:pt>
                <c:pt idx="15">
                  <c:v>-190734.38038384673</c:v>
                </c:pt>
                <c:pt idx="16">
                  <c:v>-201423.75527104232</c:v>
                </c:pt>
                <c:pt idx="17">
                  <c:v>-211889.16230345858</c:v>
                </c:pt>
                <c:pt idx="18">
                  <c:v>-222135.29414090991</c:v>
                </c:pt>
                <c:pt idx="19">
                  <c:v>-232166.74512081465</c:v>
                </c:pt>
                <c:pt idx="20">
                  <c:v>-241988.01331828331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512128"/>
        <c:axId val="144514048"/>
      </c:barChart>
      <c:catAx>
        <c:axId val="144512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Anni</a:t>
                </a:r>
              </a:p>
            </c:rich>
          </c:tx>
          <c:overlay val="0"/>
        </c:title>
        <c:numFmt formatCode="Standard" sourceLinked="1"/>
        <c:majorTickMark val="out"/>
        <c:minorTickMark val="none"/>
        <c:tickLblPos val="low"/>
        <c:crossAx val="144514048"/>
        <c:crosses val="autoZero"/>
        <c:auto val="1"/>
        <c:lblAlgn val="ctr"/>
        <c:lblOffset val="100"/>
        <c:noMultiLvlLbl val="0"/>
      </c:catAx>
      <c:valAx>
        <c:axId val="144514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Euro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44512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774700</xdr:colOff>
      <xdr:row>36</xdr:row>
      <xdr:rowOff>25400</xdr:rowOff>
    </xdr:from>
    <xdr:to>
      <xdr:col>8</xdr:col>
      <xdr:colOff>685800</xdr:colOff>
      <xdr:row>67</xdr:row>
      <xdr:rowOff>50800</xdr:rowOff>
    </xdr:to>
    <xdr:graphicFrame macro="">
      <xdr:nvGraphicFramePr>
        <xdr:cNvPr id="2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9"/>
  <sheetViews>
    <sheetView tabSelected="1" zoomScale="150" zoomScaleNormal="150" zoomScalePageLayoutView="150" workbookViewId="0">
      <selection activeCell="B55" sqref="B55"/>
    </sheetView>
  </sheetViews>
  <sheetFormatPr defaultColWidth="10.77734375" defaultRowHeight="13.2" x14ac:dyDescent="0.25"/>
  <cols>
    <col min="1" max="1" width="43.44140625" style="5" customWidth="1"/>
    <col min="2" max="2" width="50.109375" style="5" bestFit="1" customWidth="1"/>
    <col min="3" max="4" width="10.77734375" style="5"/>
    <col min="5" max="5" width="46.44140625" style="5" hidden="1" customWidth="1"/>
    <col min="6" max="16384" width="10.77734375" style="5"/>
  </cols>
  <sheetData>
    <row r="2" spans="1:5" x14ac:dyDescent="0.25">
      <c r="A2" s="55" t="s">
        <v>25</v>
      </c>
      <c r="B2" s="20" t="s">
        <v>150</v>
      </c>
      <c r="E2" s="71" t="s">
        <v>35</v>
      </c>
    </row>
    <row r="3" spans="1:5" x14ac:dyDescent="0.25">
      <c r="E3" s="72" t="s">
        <v>63</v>
      </c>
    </row>
    <row r="4" spans="1:5" x14ac:dyDescent="0.25">
      <c r="E4" s="72" t="s">
        <v>64</v>
      </c>
    </row>
    <row r="5" spans="1:5" x14ac:dyDescent="0.25">
      <c r="A5" s="4" t="s">
        <v>60</v>
      </c>
      <c r="B5" s="20" t="s">
        <v>85</v>
      </c>
      <c r="E5" s="73"/>
    </row>
    <row r="6" spans="1:5" x14ac:dyDescent="0.25">
      <c r="A6" s="6"/>
      <c r="E6" s="71" t="s">
        <v>60</v>
      </c>
    </row>
    <row r="7" spans="1:5" x14ac:dyDescent="0.25">
      <c r="A7" s="6"/>
      <c r="E7" s="72" t="s">
        <v>85</v>
      </c>
    </row>
    <row r="8" spans="1:5" x14ac:dyDescent="0.25">
      <c r="A8" s="4" t="s">
        <v>61</v>
      </c>
      <c r="B8" s="20">
        <v>0</v>
      </c>
      <c r="E8" s="72" t="s">
        <v>87</v>
      </c>
    </row>
    <row r="9" spans="1:5" x14ac:dyDescent="0.25">
      <c r="A9" s="7" t="s">
        <v>26</v>
      </c>
      <c r="B9" s="20">
        <v>0</v>
      </c>
      <c r="E9" s="72" t="s">
        <v>86</v>
      </c>
    </row>
    <row r="10" spans="1:5" x14ac:dyDescent="0.25">
      <c r="A10" s="54" t="s">
        <v>27</v>
      </c>
      <c r="B10" s="20">
        <v>0</v>
      </c>
      <c r="E10" s="73"/>
    </row>
    <row r="11" spans="1:5" x14ac:dyDescent="0.25">
      <c r="A11" s="7" t="s">
        <v>28</v>
      </c>
      <c r="B11" s="20">
        <v>0</v>
      </c>
      <c r="E11" s="71" t="s">
        <v>84</v>
      </c>
    </row>
    <row r="12" spans="1:5" x14ac:dyDescent="0.25">
      <c r="A12" s="7" t="s">
        <v>29</v>
      </c>
      <c r="B12" s="20">
        <v>0</v>
      </c>
      <c r="E12" s="72">
        <v>1</v>
      </c>
    </row>
    <row r="13" spans="1:5" x14ac:dyDescent="0.25">
      <c r="A13" s="7" t="s">
        <v>30</v>
      </c>
      <c r="B13" s="20">
        <v>0</v>
      </c>
      <c r="E13" s="72"/>
    </row>
    <row r="14" spans="1:5" x14ac:dyDescent="0.25">
      <c r="E14" s="72">
        <v>2</v>
      </c>
    </row>
    <row r="15" spans="1:5" x14ac:dyDescent="0.25">
      <c r="E15" s="72">
        <v>3</v>
      </c>
    </row>
    <row r="16" spans="1:5" x14ac:dyDescent="0.25">
      <c r="A16" s="4" t="s">
        <v>31</v>
      </c>
      <c r="B16" s="20">
        <v>0</v>
      </c>
      <c r="E16" s="72">
        <v>4</v>
      </c>
    </row>
    <row r="17" spans="1:5" x14ac:dyDescent="0.25">
      <c r="A17" s="7" t="s">
        <v>32</v>
      </c>
      <c r="B17" s="20">
        <v>0</v>
      </c>
      <c r="E17" s="72">
        <v>5</v>
      </c>
    </row>
    <row r="18" spans="1:5" x14ac:dyDescent="0.25">
      <c r="A18" s="7" t="s">
        <v>33</v>
      </c>
      <c r="B18" s="20">
        <v>0</v>
      </c>
      <c r="E18" s="72">
        <v>6</v>
      </c>
    </row>
    <row r="19" spans="1:5" x14ac:dyDescent="0.25">
      <c r="A19" s="7" t="s">
        <v>34</v>
      </c>
      <c r="B19" s="20">
        <v>0</v>
      </c>
      <c r="E19" s="72"/>
    </row>
    <row r="20" spans="1:5" x14ac:dyDescent="0.25">
      <c r="E20" s="71" t="s">
        <v>90</v>
      </c>
    </row>
    <row r="21" spans="1:5" x14ac:dyDescent="0.25">
      <c r="E21" s="72" t="s">
        <v>88</v>
      </c>
    </row>
    <row r="22" spans="1:5" x14ac:dyDescent="0.25">
      <c r="A22" s="4" t="s">
        <v>62</v>
      </c>
      <c r="B22" s="20">
        <f>SUM(B23:B25)</f>
        <v>0</v>
      </c>
      <c r="E22" s="72" t="s">
        <v>89</v>
      </c>
    </row>
    <row r="23" spans="1:5" x14ac:dyDescent="0.25">
      <c r="A23" s="7" t="s">
        <v>26</v>
      </c>
      <c r="B23" s="20">
        <v>0</v>
      </c>
      <c r="E23" s="73"/>
    </row>
    <row r="24" spans="1:5" x14ac:dyDescent="0.25">
      <c r="A24" s="54" t="s">
        <v>27</v>
      </c>
      <c r="B24" s="20">
        <v>0</v>
      </c>
      <c r="E24" s="71" t="s">
        <v>65</v>
      </c>
    </row>
    <row r="25" spans="1:5" x14ac:dyDescent="0.25">
      <c r="A25" s="54" t="s">
        <v>28</v>
      </c>
      <c r="B25" s="20">
        <v>0</v>
      </c>
      <c r="E25" s="72" t="s">
        <v>66</v>
      </c>
    </row>
    <row r="26" spans="1:5" x14ac:dyDescent="0.25">
      <c r="A26" s="7" t="s">
        <v>105</v>
      </c>
      <c r="B26" s="20">
        <v>0</v>
      </c>
      <c r="E26" s="72" t="s">
        <v>67</v>
      </c>
    </row>
    <row r="27" spans="1:5" x14ac:dyDescent="0.25">
      <c r="E27" s="72" t="s">
        <v>68</v>
      </c>
    </row>
    <row r="28" spans="1:5" x14ac:dyDescent="0.25">
      <c r="E28" s="72" t="s">
        <v>69</v>
      </c>
    </row>
    <row r="29" spans="1:5" x14ac:dyDescent="0.25">
      <c r="A29" s="56" t="s">
        <v>35</v>
      </c>
      <c r="B29" s="20" t="s">
        <v>64</v>
      </c>
      <c r="E29" s="72" t="s">
        <v>70</v>
      </c>
    </row>
    <row r="30" spans="1:5" x14ac:dyDescent="0.25">
      <c r="A30" s="22" t="str">
        <f>IF($B$29="Si","Numero di mesi di pascolo estivo","")</f>
        <v/>
      </c>
      <c r="B30" s="23" t="str">
        <f>IF($B$29="Si", "Digitare valore","")</f>
        <v/>
      </c>
      <c r="E30" s="72" t="s">
        <v>71</v>
      </c>
    </row>
    <row r="31" spans="1:5" x14ac:dyDescent="0.25">
      <c r="E31" s="72" t="s">
        <v>72</v>
      </c>
    </row>
    <row r="32" spans="1:5" x14ac:dyDescent="0.25">
      <c r="E32" s="72" t="s">
        <v>73</v>
      </c>
    </row>
    <row r="33" spans="1:2" x14ac:dyDescent="0.25">
      <c r="A33" s="4" t="s">
        <v>65</v>
      </c>
      <c r="B33" s="20"/>
    </row>
    <row r="34" spans="1:2" x14ac:dyDescent="0.25">
      <c r="A34" s="7" t="s">
        <v>32</v>
      </c>
      <c r="B34" s="20" t="s">
        <v>66</v>
      </c>
    </row>
    <row r="35" spans="1:2" x14ac:dyDescent="0.25">
      <c r="A35" s="7" t="s">
        <v>33</v>
      </c>
      <c r="B35" s="20" t="s">
        <v>72</v>
      </c>
    </row>
    <row r="36" spans="1:2" x14ac:dyDescent="0.25">
      <c r="A36" s="7" t="s">
        <v>34</v>
      </c>
      <c r="B36" s="20" t="s">
        <v>73</v>
      </c>
    </row>
    <row r="37" spans="1:2" x14ac:dyDescent="0.25">
      <c r="A37" s="4" t="s">
        <v>36</v>
      </c>
      <c r="B37" s="20"/>
    </row>
    <row r="40" spans="1:2" x14ac:dyDescent="0.25">
      <c r="A40" s="18" t="s">
        <v>100</v>
      </c>
      <c r="B40" s="57" t="s">
        <v>64</v>
      </c>
    </row>
    <row r="41" spans="1:2" x14ac:dyDescent="0.25">
      <c r="A41" s="22" t="str">
        <f>IF($B$40="Si", "liquame","")</f>
        <v/>
      </c>
      <c r="B41" s="23" t="str">
        <f>IF($B$40="Si", "Digitare valore","")</f>
        <v/>
      </c>
    </row>
    <row r="42" spans="1:2" x14ac:dyDescent="0.25">
      <c r="A42" s="22" t="str">
        <f>IF($B$40="Si", "letame","")</f>
        <v/>
      </c>
      <c r="B42" s="23" t="str">
        <f>IF($B$40="Si","Digitare valore","")</f>
        <v/>
      </c>
    </row>
    <row r="45" spans="1:2" x14ac:dyDescent="0.25">
      <c r="A45" s="4" t="s">
        <v>101</v>
      </c>
      <c r="B45" s="20" t="s">
        <v>64</v>
      </c>
    </row>
    <row r="46" spans="1:2" x14ac:dyDescent="0.25">
      <c r="A46" s="22" t="str">
        <f>IF($B$45="Si", "liquame","")</f>
        <v/>
      </c>
      <c r="B46" s="23" t="str">
        <f>IF($B$45="Si", "Digitare valore","")</f>
        <v/>
      </c>
    </row>
    <row r="47" spans="1:2" x14ac:dyDescent="0.25">
      <c r="A47" s="22" t="str">
        <f>IF($B$45="Si", "letame","")</f>
        <v/>
      </c>
      <c r="B47" s="23" t="str">
        <f>IF($B$45="Si","Digitare valore","")</f>
        <v/>
      </c>
    </row>
    <row r="48" spans="1:2" x14ac:dyDescent="0.25">
      <c r="A48" s="18" t="s">
        <v>134</v>
      </c>
      <c r="B48" s="20">
        <v>10</v>
      </c>
    </row>
    <row r="49" spans="1:2" x14ac:dyDescent="0.25">
      <c r="A49" s="18" t="s">
        <v>135</v>
      </c>
      <c r="B49" s="70">
        <v>2500</v>
      </c>
    </row>
  </sheetData>
  <dataConsolidate/>
  <conditionalFormatting sqref="A41:A42">
    <cfRule type="notContainsBlanks" dxfId="5" priority="36">
      <formula>LEN(TRIM(A41))&gt;0</formula>
    </cfRule>
  </conditionalFormatting>
  <conditionalFormatting sqref="A46:A47">
    <cfRule type="notContainsBlanks" dxfId="4" priority="37">
      <formula>LEN(TRIM(A46))&gt;0</formula>
    </cfRule>
  </conditionalFormatting>
  <conditionalFormatting sqref="B41:B42">
    <cfRule type="notContainsBlanks" dxfId="3" priority="34">
      <formula>LEN(TRIM(B41))&gt;0</formula>
    </cfRule>
  </conditionalFormatting>
  <conditionalFormatting sqref="B46:B47">
    <cfRule type="notContainsBlanks" dxfId="2" priority="35">
      <formula>LEN(TRIM(B46))&gt;0</formula>
    </cfRule>
  </conditionalFormatting>
  <conditionalFormatting sqref="A30">
    <cfRule type="notContainsBlanks" dxfId="1" priority="2">
      <formula>LEN(TRIM(A30))&gt;0</formula>
    </cfRule>
  </conditionalFormatting>
  <conditionalFormatting sqref="B30">
    <cfRule type="notContainsBlanks" dxfId="0" priority="1">
      <formula>LEN(TRIM(B30))&gt;0</formula>
    </cfRule>
  </conditionalFormatting>
  <dataValidations count="4">
    <dataValidation type="list" allowBlank="1" showInputMessage="1" showErrorMessage="1" sqref="B5">
      <formula1>$E$7:$E$9</formula1>
    </dataValidation>
    <dataValidation type="list" allowBlank="1" showInputMessage="1" showErrorMessage="1" sqref="B33">
      <formula1>$E$21:$E$22</formula1>
    </dataValidation>
    <dataValidation type="list" allowBlank="1" showInputMessage="1" showErrorMessage="1" sqref="B29 B40 B45">
      <formula1>$E$3:$E$4</formula1>
    </dataValidation>
    <dataValidation type="list" allowBlank="1" showInputMessage="1" showErrorMessage="1" sqref="B34:B36">
      <formula1>$E$25:$E$32</formula1>
    </dataValidation>
  </dataValidations>
  <pageMargins left="0.75" right="0.75" top="1" bottom="1" header="0.5" footer="0.5"/>
  <pageSetup paperSize="9" orientation="portrait" horizontalDpi="4294967292" verticalDpi="4294967292"/>
  <ignoredErrors>
    <ignoredError sqref="A41:B44 A46:B47 A45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="125" workbookViewId="0">
      <selection activeCell="C12" sqref="C12"/>
    </sheetView>
  </sheetViews>
  <sheetFormatPr defaultColWidth="8.77734375" defaultRowHeight="12" customHeight="1" x14ac:dyDescent="0.25"/>
  <cols>
    <col min="1" max="1" width="20.33203125" style="79" bestFit="1" customWidth="1"/>
    <col min="2" max="2" width="18.5546875" style="79" bestFit="1" customWidth="1"/>
    <col min="3" max="3" width="28.77734375" style="79" bestFit="1" customWidth="1"/>
    <col min="4" max="4" width="41.33203125" style="79" bestFit="1" customWidth="1"/>
    <col min="5" max="5" width="19.6640625" style="79" bestFit="1" customWidth="1"/>
    <col min="6" max="6" width="14.77734375" style="79" bestFit="1" customWidth="1"/>
    <col min="7" max="7" width="27.77734375" style="79" bestFit="1" customWidth="1"/>
    <col min="8" max="8" width="11.33203125" style="79" bestFit="1" customWidth="1"/>
    <col min="9" max="9" width="13.6640625" style="79" bestFit="1" customWidth="1"/>
    <col min="10" max="14" width="13.109375" style="79" customWidth="1"/>
    <col min="15" max="16384" width="8.77734375" style="79"/>
  </cols>
  <sheetData>
    <row r="1" spans="1:14" ht="13.05" customHeight="1" thickBot="1" x14ac:dyDescent="0.3"/>
    <row r="2" spans="1:14" ht="13.8" thickTop="1" x14ac:dyDescent="0.25">
      <c r="A2" s="85" t="s">
        <v>133</v>
      </c>
      <c r="B2" s="85" t="s">
        <v>136</v>
      </c>
      <c r="C2" s="85" t="s">
        <v>0</v>
      </c>
      <c r="D2" s="85" t="s">
        <v>1</v>
      </c>
      <c r="E2" s="85" t="s">
        <v>2</v>
      </c>
      <c r="F2" s="85" t="s">
        <v>122</v>
      </c>
      <c r="G2" s="85" t="s">
        <v>123</v>
      </c>
    </row>
    <row r="3" spans="1:14" ht="13.8" thickBot="1" x14ac:dyDescent="0.3">
      <c r="A3" s="86"/>
      <c r="B3" s="86" t="s">
        <v>15</v>
      </c>
      <c r="C3" s="86" t="s">
        <v>16</v>
      </c>
      <c r="D3" s="86" t="s">
        <v>16</v>
      </c>
      <c r="E3" s="86" t="s">
        <v>16</v>
      </c>
      <c r="F3" s="86" t="s">
        <v>16</v>
      </c>
      <c r="G3" s="86" t="s">
        <v>16</v>
      </c>
    </row>
    <row r="4" spans="1:14" ht="16.05" customHeight="1" thickTop="1" thickBot="1" x14ac:dyDescent="0.3">
      <c r="A4" s="77" t="s">
        <v>44</v>
      </c>
      <c r="B4" s="77">
        <f>Tecnico!R6+Tecnico!R10</f>
        <v>0</v>
      </c>
      <c r="C4" s="77">
        <f>B4*7200/1000*(IF(Base!$B$22=0,(IF(B4&lt;=300,'Tariffe incentivanti base'!$D$7,IF(AND(B4&gt;300,B4&lt;=600),'Tariffe incentivanti base'!$D$8,IF(AND(B4&gt;600,B4&lt;=1000),'Tariffe incentivanti base'!$D$9,IF(AND(B4&gt;1000,B4&lt;=5000),'Tariffe incentivanti base'!$D$10,'Tariffe incentivanti base'!$D$11))))),(IF($B$4&gt;1000,(IF(B4&lt;=300,'Tariffe incentivanti base'!$D$2,IF(AND(B4&gt;300,B4&lt;=600),'Tariffe incentivanti base'!$D$3,IF(AND(B4&gt;600,B4&lt;=1000),'Tariffe incentivanti base'!$D$4,IF(AND(B4&gt;1000,B4&lt;=5000),'Tariffe incentivanti base'!$D$5,'Tariffe incentivanti base'!$D$6))))),(IF((Tecnico!$B$10/(Tecnico!$B$6+Tecnico!$B$10)*100)&gt;30,(IF(B4&lt;=300,'Tariffe incentivanti base'!$D$2,IF(AND(B4&gt;300,B4&lt;=600),'Tariffe incentivanti base'!$D$3,IF(AND(B4&gt;600,B4&lt;=1000),'Tariffe incentivanti base'!$D$4,IF(AND(B4&gt;1000,B4&lt;=5000),'Tariffe incentivanti base'!$D$5,'Tariffe incentivanti base'!$D$6))))),(IF(B4&lt;=300,'Tariffe incentivanti base'!$D$7,IF(AND(B4&gt;300,B4&lt;=600),'Tariffe incentivanti base'!$D$8,IF(AND(B4&gt;600,B4&lt;=1000),'Tariffe incentivanti base'!$D$9,IF(AND(B4&gt;1000,B4&lt;=5000),'Tariffe incentivanti base'!$D$10,'Tariffe incentivanti base'!$D$11)))))))))))</f>
        <v>0</v>
      </c>
      <c r="D4" s="77">
        <f>IF(Base!B49&gt;0,(IF(Base!$B$48&lt;Tecnico!$U$11,(Base!$B$48*Base!$B$49/1000*50),Tecnico!$U$11*Base!$B$49/1000*50)),0)</f>
        <v>0</v>
      </c>
      <c r="E4" s="77">
        <f>(Tecnico!B5*Tecnico!C5)</f>
        <v>0</v>
      </c>
      <c r="F4" s="77">
        <f>(IF($B$4&lt;=100,15000,IF(AND($B$4&gt;100,$B$4&lt;=1000),35000,50000)))</f>
        <v>15000</v>
      </c>
      <c r="G4" s="77">
        <f>E4+F4</f>
        <v>15000</v>
      </c>
    </row>
    <row r="5" spans="1:14" ht="13.05" customHeight="1" thickTop="1" x14ac:dyDescent="0.25"/>
    <row r="6" spans="1:14" ht="13.05" customHeight="1" thickBot="1" x14ac:dyDescent="0.3"/>
    <row r="7" spans="1:14" ht="13.05" customHeight="1" thickTop="1" x14ac:dyDescent="0.25">
      <c r="A7" s="85" t="s">
        <v>124</v>
      </c>
      <c r="B7" s="85" t="s">
        <v>14</v>
      </c>
      <c r="C7" s="85" t="s">
        <v>125</v>
      </c>
      <c r="D7" s="85" t="s">
        <v>127</v>
      </c>
      <c r="E7" s="85" t="s">
        <v>6</v>
      </c>
      <c r="F7" s="85" t="s">
        <v>7</v>
      </c>
      <c r="G7" s="85" t="s">
        <v>13</v>
      </c>
    </row>
    <row r="8" spans="1:14" ht="13.05" customHeight="1" thickBot="1" x14ac:dyDescent="0.3">
      <c r="A8" s="86"/>
      <c r="B8" s="86" t="s">
        <v>126</v>
      </c>
      <c r="C8" s="86" t="s">
        <v>130</v>
      </c>
      <c r="D8" s="86" t="s">
        <v>130</v>
      </c>
      <c r="E8" s="86"/>
      <c r="F8" s="86"/>
      <c r="G8" s="86"/>
    </row>
    <row r="9" spans="1:14" ht="13.05" customHeight="1" thickTop="1" thickBot="1" x14ac:dyDescent="0.3">
      <c r="A9" s="77" t="s">
        <v>129</v>
      </c>
      <c r="B9" s="77">
        <f>IF(AND($B$4&gt;30,$B$4&lt;=100),9000,IF(AND($B$4&gt;100,$B$4&lt;=300),7000,IF(AND($B$4&gt;300,$B$4&lt;=600),5000,IF(AND($B$4&gt;600,$B$4&lt;=1000),4500,IF(AND($B$4&gt;1000,$B$4&lt;=2000),4000,3500)))))</f>
        <v>3500</v>
      </c>
      <c r="C9" s="77">
        <v>0.05</v>
      </c>
      <c r="D9" s="77">
        <v>2.8000000000000001E-2</v>
      </c>
      <c r="E9" s="77">
        <f>1+$C$9</f>
        <v>1.05</v>
      </c>
      <c r="F9" s="77">
        <v>20</v>
      </c>
      <c r="G9" s="77">
        <f>E9^F9</f>
        <v>2.6532977051444209</v>
      </c>
    </row>
    <row r="10" spans="1:14" ht="13.05" customHeight="1" thickTop="1" x14ac:dyDescent="0.25"/>
    <row r="11" spans="1:14" ht="13.95" customHeight="1" thickBot="1" x14ac:dyDescent="0.3">
      <c r="G11" s="80"/>
    </row>
    <row r="12" spans="1:14" ht="37.049999999999997" customHeight="1" thickTop="1" x14ac:dyDescent="0.25">
      <c r="A12" s="78" t="s">
        <v>8</v>
      </c>
      <c r="B12" s="78" t="s">
        <v>9</v>
      </c>
      <c r="C12" s="78" t="s">
        <v>3</v>
      </c>
      <c r="D12" s="78" t="s">
        <v>4</v>
      </c>
      <c r="E12" s="78" t="s">
        <v>5</v>
      </c>
      <c r="F12" s="78" t="s">
        <v>10</v>
      </c>
      <c r="G12" s="78" t="s">
        <v>11</v>
      </c>
      <c r="H12" s="78" t="s">
        <v>12</v>
      </c>
      <c r="I12" s="81"/>
      <c r="J12" s="82"/>
      <c r="K12" s="82"/>
      <c r="L12" s="82"/>
      <c r="M12" s="82"/>
      <c r="N12" s="82"/>
    </row>
    <row r="13" spans="1:14" ht="12" customHeight="1" x14ac:dyDescent="0.25">
      <c r="A13" s="59">
        <v>0</v>
      </c>
      <c r="B13" s="59">
        <f>$B$9*$B$4</f>
        <v>0</v>
      </c>
      <c r="C13" s="60"/>
      <c r="D13" s="61"/>
      <c r="E13" s="62"/>
      <c r="F13" s="59">
        <f>-B13</f>
        <v>0</v>
      </c>
      <c r="G13" s="59">
        <f>-B13</f>
        <v>0</v>
      </c>
      <c r="H13" s="59">
        <f>-B13</f>
        <v>0</v>
      </c>
      <c r="I13" s="83"/>
      <c r="J13" s="82"/>
      <c r="K13" s="82"/>
      <c r="L13" s="82"/>
      <c r="M13" s="82"/>
      <c r="N13" s="82"/>
    </row>
    <row r="14" spans="1:14" ht="12" customHeight="1" x14ac:dyDescent="0.25">
      <c r="A14" s="63">
        <v>1</v>
      </c>
      <c r="B14" s="63"/>
      <c r="C14" s="63">
        <f t="shared" ref="C14:C33" si="0">$F$4*(1+$D$9)^$A14</f>
        <v>15420</v>
      </c>
      <c r="D14" s="63">
        <f>$C$4*(1+0)^$A14</f>
        <v>0</v>
      </c>
      <c r="E14" s="63">
        <f t="shared" ref="E14:E33" si="1">$D$4*(1+$D$9)^$A14</f>
        <v>0</v>
      </c>
      <c r="F14" s="63">
        <f t="shared" ref="F14:F33" si="2">(SUM(D14:E14))-C14</f>
        <v>-15420</v>
      </c>
      <c r="G14" s="63">
        <f t="shared" ref="G14:G33" si="3">F14/(1+$C$9)^A14</f>
        <v>-14685.714285714284</v>
      </c>
      <c r="H14" s="63">
        <f t="shared" ref="H14:H33" si="4">H13+G14</f>
        <v>-14685.714285714284</v>
      </c>
      <c r="I14" s="83"/>
      <c r="J14" s="82"/>
      <c r="K14" s="82"/>
      <c r="L14" s="82"/>
      <c r="M14" s="82"/>
      <c r="N14" s="82"/>
    </row>
    <row r="15" spans="1:14" ht="12" customHeight="1" x14ac:dyDescent="0.25">
      <c r="A15" s="63">
        <v>2</v>
      </c>
      <c r="B15" s="63"/>
      <c r="C15" s="63">
        <f t="shared" si="0"/>
        <v>15851.759999999998</v>
      </c>
      <c r="D15" s="63">
        <f t="shared" ref="D15:D33" si="5">$C$4*(1+0)^$A15</f>
        <v>0</v>
      </c>
      <c r="E15" s="63">
        <f t="shared" si="1"/>
        <v>0</v>
      </c>
      <c r="F15" s="63">
        <f t="shared" si="2"/>
        <v>-15851.759999999998</v>
      </c>
      <c r="G15" s="63">
        <f t="shared" si="3"/>
        <v>-14378.013605442175</v>
      </c>
      <c r="H15" s="63">
        <f t="shared" si="4"/>
        <v>-29063.727891156457</v>
      </c>
      <c r="I15" s="83"/>
      <c r="J15" s="84"/>
      <c r="K15" s="84"/>
      <c r="L15" s="84"/>
      <c r="M15" s="84"/>
      <c r="N15" s="84"/>
    </row>
    <row r="16" spans="1:14" ht="12" customHeight="1" x14ac:dyDescent="0.25">
      <c r="A16" s="63">
        <v>3</v>
      </c>
      <c r="B16" s="63"/>
      <c r="C16" s="63">
        <f t="shared" si="0"/>
        <v>16295.609279999999</v>
      </c>
      <c r="D16" s="63">
        <f t="shared" si="5"/>
        <v>0</v>
      </c>
      <c r="E16" s="63">
        <f t="shared" si="1"/>
        <v>0</v>
      </c>
      <c r="F16" s="63">
        <f t="shared" si="2"/>
        <v>-16295.609279999999</v>
      </c>
      <c r="G16" s="63">
        <f t="shared" si="3"/>
        <v>-14076.759987042433</v>
      </c>
      <c r="H16" s="63">
        <f t="shared" si="4"/>
        <v>-43140.487878198888</v>
      </c>
      <c r="I16" s="83"/>
      <c r="J16" s="84"/>
      <c r="K16" s="84"/>
      <c r="L16" s="84"/>
      <c r="M16" s="84"/>
      <c r="N16" s="84"/>
    </row>
    <row r="17" spans="1:14" ht="12" customHeight="1" x14ac:dyDescent="0.25">
      <c r="A17" s="63">
        <v>4</v>
      </c>
      <c r="B17" s="63"/>
      <c r="C17" s="63">
        <f t="shared" si="0"/>
        <v>16751.886339839999</v>
      </c>
      <c r="D17" s="63">
        <f t="shared" si="5"/>
        <v>0</v>
      </c>
      <c r="E17" s="63">
        <f t="shared" si="1"/>
        <v>0</v>
      </c>
      <c r="F17" s="63">
        <f t="shared" si="2"/>
        <v>-16751.886339839999</v>
      </c>
      <c r="G17" s="63">
        <f t="shared" si="3"/>
        <v>-13781.818349218689</v>
      </c>
      <c r="H17" s="63">
        <f t="shared" si="4"/>
        <v>-56922.306227417575</v>
      </c>
      <c r="I17" s="83"/>
      <c r="J17" s="84"/>
      <c r="K17" s="84"/>
      <c r="L17" s="84"/>
      <c r="M17" s="84"/>
      <c r="N17" s="84"/>
    </row>
    <row r="18" spans="1:14" ht="12" customHeight="1" x14ac:dyDescent="0.25">
      <c r="A18" s="63">
        <v>5</v>
      </c>
      <c r="B18" s="63"/>
      <c r="C18" s="63">
        <f t="shared" si="0"/>
        <v>17220.939157355519</v>
      </c>
      <c r="D18" s="63">
        <f t="shared" si="5"/>
        <v>0</v>
      </c>
      <c r="E18" s="63">
        <f t="shared" si="1"/>
        <v>0</v>
      </c>
      <c r="F18" s="63">
        <f t="shared" si="2"/>
        <v>-17220.939157355519</v>
      </c>
      <c r="G18" s="63">
        <f t="shared" si="3"/>
        <v>-13493.056440949344</v>
      </c>
      <c r="H18" s="63">
        <f t="shared" si="4"/>
        <v>-70415.362668366914</v>
      </c>
      <c r="I18" s="83"/>
      <c r="J18" s="84"/>
      <c r="K18" s="84"/>
      <c r="L18" s="84"/>
      <c r="M18" s="84"/>
      <c r="N18" s="84"/>
    </row>
    <row r="19" spans="1:14" ht="12" customHeight="1" x14ac:dyDescent="0.25">
      <c r="A19" s="63">
        <v>6</v>
      </c>
      <c r="B19" s="63"/>
      <c r="C19" s="63">
        <f t="shared" si="0"/>
        <v>17703.125453761473</v>
      </c>
      <c r="D19" s="63">
        <f t="shared" si="5"/>
        <v>0</v>
      </c>
      <c r="E19" s="63">
        <f t="shared" si="1"/>
        <v>0</v>
      </c>
      <c r="F19" s="63">
        <f t="shared" si="2"/>
        <v>-17703.125453761473</v>
      </c>
      <c r="G19" s="63">
        <f t="shared" si="3"/>
        <v>-13210.344782186598</v>
      </c>
      <c r="H19" s="63">
        <f t="shared" si="4"/>
        <v>-83625.707450553513</v>
      </c>
      <c r="I19" s="83"/>
      <c r="J19" s="84"/>
      <c r="K19" s="84"/>
      <c r="L19" s="84"/>
      <c r="M19" s="84"/>
      <c r="N19" s="84"/>
    </row>
    <row r="20" spans="1:14" ht="12" customHeight="1" x14ac:dyDescent="0.25">
      <c r="A20" s="63">
        <v>7</v>
      </c>
      <c r="B20" s="63"/>
      <c r="C20" s="63">
        <f t="shared" si="0"/>
        <v>18198.812966466798</v>
      </c>
      <c r="D20" s="63">
        <f t="shared" si="5"/>
        <v>0</v>
      </c>
      <c r="E20" s="63">
        <f t="shared" si="1"/>
        <v>0</v>
      </c>
      <c r="F20" s="63">
        <f t="shared" si="2"/>
        <v>-18198.812966466798</v>
      </c>
      <c r="G20" s="63">
        <f t="shared" si="3"/>
        <v>-12933.556605797925</v>
      </c>
      <c r="H20" s="63">
        <f t="shared" si="4"/>
        <v>-96559.264056351443</v>
      </c>
      <c r="I20" s="83"/>
    </row>
    <row r="21" spans="1:14" ht="12" customHeight="1" x14ac:dyDescent="0.25">
      <c r="A21" s="63">
        <v>8</v>
      </c>
      <c r="B21" s="63"/>
      <c r="C21" s="63">
        <f t="shared" si="0"/>
        <v>18708.379729527867</v>
      </c>
      <c r="D21" s="63">
        <f t="shared" si="5"/>
        <v>0</v>
      </c>
      <c r="E21" s="63">
        <f t="shared" si="1"/>
        <v>0</v>
      </c>
      <c r="F21" s="63">
        <f t="shared" si="2"/>
        <v>-18708.379729527867</v>
      </c>
      <c r="G21" s="63">
        <f t="shared" si="3"/>
        <v>-12662.567800724064</v>
      </c>
      <c r="H21" s="63">
        <f t="shared" si="4"/>
        <v>-109221.83185707551</v>
      </c>
      <c r="I21" s="83"/>
    </row>
    <row r="22" spans="1:14" ht="12" customHeight="1" x14ac:dyDescent="0.25">
      <c r="A22" s="63">
        <v>9</v>
      </c>
      <c r="B22" s="63"/>
      <c r="C22" s="63">
        <f t="shared" si="0"/>
        <v>19232.214361954648</v>
      </c>
      <c r="D22" s="63">
        <f t="shared" si="5"/>
        <v>0</v>
      </c>
      <c r="E22" s="63">
        <f t="shared" si="1"/>
        <v>0</v>
      </c>
      <c r="F22" s="63">
        <f t="shared" si="2"/>
        <v>-19232.214361954648</v>
      </c>
      <c r="G22" s="63">
        <f t="shared" si="3"/>
        <v>-12397.256856327942</v>
      </c>
      <c r="H22" s="63">
        <f t="shared" si="4"/>
        <v>-121619.08871340344</v>
      </c>
      <c r="I22" s="83"/>
    </row>
    <row r="23" spans="1:14" ht="12" customHeight="1" x14ac:dyDescent="0.25">
      <c r="A23" s="63">
        <v>10</v>
      </c>
      <c r="B23" s="63"/>
      <c r="C23" s="63">
        <f t="shared" si="0"/>
        <v>19770.716364089374</v>
      </c>
      <c r="D23" s="63">
        <f t="shared" si="5"/>
        <v>0</v>
      </c>
      <c r="E23" s="63">
        <f t="shared" si="1"/>
        <v>0</v>
      </c>
      <c r="F23" s="63">
        <f t="shared" si="2"/>
        <v>-19770.716364089374</v>
      </c>
      <c r="G23" s="63">
        <f t="shared" si="3"/>
        <v>-12137.50480790964</v>
      </c>
      <c r="H23" s="63">
        <f t="shared" si="4"/>
        <v>-133756.59352131307</v>
      </c>
      <c r="I23" s="83"/>
    </row>
    <row r="24" spans="1:14" ht="12" customHeight="1" x14ac:dyDescent="0.25">
      <c r="A24" s="63">
        <v>11</v>
      </c>
      <c r="B24" s="63"/>
      <c r="C24" s="63">
        <f t="shared" si="0"/>
        <v>20324.296422283878</v>
      </c>
      <c r="D24" s="63">
        <f t="shared" si="5"/>
        <v>0</v>
      </c>
      <c r="E24" s="63">
        <f t="shared" si="1"/>
        <v>0</v>
      </c>
      <c r="F24" s="63">
        <f t="shared" si="2"/>
        <v>-20324.296422283878</v>
      </c>
      <c r="G24" s="63">
        <f t="shared" si="3"/>
        <v>-11883.195183362961</v>
      </c>
      <c r="H24" s="63">
        <f t="shared" si="4"/>
        <v>-145639.78870467603</v>
      </c>
      <c r="I24" s="83"/>
    </row>
    <row r="25" spans="1:14" ht="12" customHeight="1" x14ac:dyDescent="0.25">
      <c r="A25" s="63">
        <v>12</v>
      </c>
      <c r="B25" s="63"/>
      <c r="C25" s="63">
        <f t="shared" si="0"/>
        <v>20893.376722107831</v>
      </c>
      <c r="D25" s="63">
        <f t="shared" si="5"/>
        <v>0</v>
      </c>
      <c r="E25" s="63">
        <f t="shared" si="1"/>
        <v>0</v>
      </c>
      <c r="F25" s="63">
        <f t="shared" si="2"/>
        <v>-20893.376722107831</v>
      </c>
      <c r="G25" s="63">
        <f t="shared" si="3"/>
        <v>-11634.213950949646</v>
      </c>
      <c r="H25" s="63">
        <f t="shared" si="4"/>
        <v>-157274.00265562566</v>
      </c>
      <c r="I25" s="83"/>
    </row>
    <row r="26" spans="1:14" ht="12" customHeight="1" x14ac:dyDescent="0.25">
      <c r="A26" s="63">
        <v>13</v>
      </c>
      <c r="B26" s="63"/>
      <c r="C26" s="63">
        <f t="shared" si="0"/>
        <v>21478.391270326847</v>
      </c>
      <c r="D26" s="63">
        <f t="shared" si="5"/>
        <v>0</v>
      </c>
      <c r="E26" s="63">
        <f t="shared" si="1"/>
        <v>0</v>
      </c>
      <c r="F26" s="63">
        <f t="shared" si="2"/>
        <v>-21478.391270326847</v>
      </c>
      <c r="G26" s="63">
        <f t="shared" si="3"/>
        <v>-11390.449468167841</v>
      </c>
      <c r="H26" s="63">
        <f t="shared" si="4"/>
        <v>-168664.45212379351</v>
      </c>
      <c r="I26" s="83"/>
    </row>
    <row r="27" spans="1:14" ht="12" customHeight="1" x14ac:dyDescent="0.25">
      <c r="A27" s="63">
        <v>14</v>
      </c>
      <c r="B27" s="63"/>
      <c r="C27" s="63">
        <f t="shared" si="0"/>
        <v>22079.786225895998</v>
      </c>
      <c r="D27" s="63">
        <f t="shared" si="5"/>
        <v>0</v>
      </c>
      <c r="E27" s="63">
        <f t="shared" si="1"/>
        <v>0</v>
      </c>
      <c r="F27" s="63">
        <f t="shared" si="2"/>
        <v>-22079.786225895998</v>
      </c>
      <c r="G27" s="63">
        <f t="shared" si="3"/>
        <v>-11151.792431691945</v>
      </c>
      <c r="H27" s="63">
        <f t="shared" si="4"/>
        <v>-179816.24455548546</v>
      </c>
      <c r="I27" s="83"/>
    </row>
    <row r="28" spans="1:14" ht="13.05" customHeight="1" x14ac:dyDescent="0.25">
      <c r="A28" s="63">
        <v>15</v>
      </c>
      <c r="B28" s="63"/>
      <c r="C28" s="63">
        <f t="shared" si="0"/>
        <v>22698.020240221089</v>
      </c>
      <c r="D28" s="63">
        <f t="shared" si="5"/>
        <v>0</v>
      </c>
      <c r="E28" s="63">
        <f t="shared" si="1"/>
        <v>0</v>
      </c>
      <c r="F28" s="63">
        <f t="shared" si="2"/>
        <v>-22698.020240221089</v>
      </c>
      <c r="G28" s="63">
        <f t="shared" si="3"/>
        <v>-10918.135828361254</v>
      </c>
      <c r="H28" s="63">
        <f t="shared" si="4"/>
        <v>-190734.38038384673</v>
      </c>
      <c r="I28" s="83"/>
    </row>
    <row r="29" spans="1:14" ht="13.05" customHeight="1" x14ac:dyDescent="0.25">
      <c r="A29" s="63">
        <v>16</v>
      </c>
      <c r="B29" s="63"/>
      <c r="C29" s="63">
        <f t="shared" si="0"/>
        <v>23333.564806947277</v>
      </c>
      <c r="D29" s="63">
        <f t="shared" si="5"/>
        <v>0</v>
      </c>
      <c r="E29" s="63">
        <f t="shared" si="1"/>
        <v>0</v>
      </c>
      <c r="F29" s="63">
        <f t="shared" si="2"/>
        <v>-23333.564806947277</v>
      </c>
      <c r="G29" s="63">
        <f t="shared" si="3"/>
        <v>-10689.37488719559</v>
      </c>
      <c r="H29" s="63">
        <f t="shared" si="4"/>
        <v>-201423.75527104232</v>
      </c>
    </row>
    <row r="30" spans="1:14" ht="12" customHeight="1" x14ac:dyDescent="0.25">
      <c r="A30" s="63">
        <v>17</v>
      </c>
      <c r="B30" s="63"/>
      <c r="C30" s="63">
        <f t="shared" si="0"/>
        <v>23986.904621541802</v>
      </c>
      <c r="D30" s="63">
        <f t="shared" si="5"/>
        <v>0</v>
      </c>
      <c r="E30" s="63">
        <f t="shared" si="1"/>
        <v>0</v>
      </c>
      <c r="F30" s="63">
        <f t="shared" si="2"/>
        <v>-23986.904621541802</v>
      </c>
      <c r="G30" s="63">
        <f t="shared" si="3"/>
        <v>-10465.407032416253</v>
      </c>
      <c r="H30" s="63">
        <f t="shared" si="4"/>
        <v>-211889.16230345858</v>
      </c>
    </row>
    <row r="31" spans="1:14" ht="12" customHeight="1" x14ac:dyDescent="0.25">
      <c r="A31" s="63">
        <v>18</v>
      </c>
      <c r="B31" s="63"/>
      <c r="C31" s="63">
        <f t="shared" si="0"/>
        <v>24658.53795094497</v>
      </c>
      <c r="D31" s="63">
        <f t="shared" si="5"/>
        <v>0</v>
      </c>
      <c r="E31" s="63">
        <f t="shared" si="1"/>
        <v>0</v>
      </c>
      <c r="F31" s="63">
        <f t="shared" si="2"/>
        <v>-24658.53795094497</v>
      </c>
      <c r="G31" s="63">
        <f t="shared" si="3"/>
        <v>-10246.131837451339</v>
      </c>
      <c r="H31" s="63">
        <f t="shared" si="4"/>
        <v>-222135.29414090991</v>
      </c>
    </row>
    <row r="32" spans="1:14" ht="12" customHeight="1" x14ac:dyDescent="0.25">
      <c r="A32" s="63">
        <v>19</v>
      </c>
      <c r="B32" s="63"/>
      <c r="C32" s="63">
        <f t="shared" si="0"/>
        <v>25348.977013571428</v>
      </c>
      <c r="D32" s="63">
        <f t="shared" si="5"/>
        <v>0</v>
      </c>
      <c r="E32" s="63">
        <f t="shared" si="1"/>
        <v>0</v>
      </c>
      <c r="F32" s="63">
        <f t="shared" si="2"/>
        <v>-25348.977013571428</v>
      </c>
      <c r="G32" s="63">
        <f t="shared" si="3"/>
        <v>-10031.450979904739</v>
      </c>
      <c r="H32" s="63">
        <f t="shared" si="4"/>
        <v>-232166.74512081465</v>
      </c>
    </row>
    <row r="33" spans="1:8" ht="12" customHeight="1" thickBot="1" x14ac:dyDescent="0.3">
      <c r="A33" s="58">
        <v>20</v>
      </c>
      <c r="B33" s="58"/>
      <c r="C33" s="58">
        <f t="shared" si="0"/>
        <v>26058.748369951431</v>
      </c>
      <c r="D33" s="58">
        <f t="shared" si="5"/>
        <v>0</v>
      </c>
      <c r="E33" s="58">
        <f t="shared" si="1"/>
        <v>0</v>
      </c>
      <c r="F33" s="58">
        <f t="shared" si="2"/>
        <v>-26058.748369951431</v>
      </c>
      <c r="G33" s="58">
        <f t="shared" si="3"/>
        <v>-9821.268197468642</v>
      </c>
      <c r="H33" s="58">
        <f t="shared" si="4"/>
        <v>-241988.01331828331</v>
      </c>
    </row>
    <row r="34" spans="1:8" ht="12" customHeight="1" thickTop="1" x14ac:dyDescent="0.25"/>
  </sheetData>
  <mergeCells count="14">
    <mergeCell ref="A2:A3"/>
    <mergeCell ref="A7:A8"/>
    <mergeCell ref="E7:E8"/>
    <mergeCell ref="F7:F8"/>
    <mergeCell ref="G7:G8"/>
    <mergeCell ref="B2:B3"/>
    <mergeCell ref="C2:C3"/>
    <mergeCell ref="D2:D3"/>
    <mergeCell ref="E2:E3"/>
    <mergeCell ref="F2:F3"/>
    <mergeCell ref="G2:G3"/>
    <mergeCell ref="B7:B8"/>
    <mergeCell ref="C7:C8"/>
    <mergeCell ref="D7:D8"/>
  </mergeCells>
  <phoneticPr fontId="16" type="noConversion"/>
  <pageMargins left="0.74803149606299213" right="0.74803149606299213" top="0.39370078740157483" bottom="0.39370078740157483" header="0.51181102362204722" footer="0.51181102362204722"/>
  <pageSetup paperSize="9" scale="50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G30" sqref="G30"/>
    </sheetView>
  </sheetViews>
  <sheetFormatPr defaultColWidth="11.44140625" defaultRowHeight="13.2" x14ac:dyDescent="0.25"/>
  <cols>
    <col min="1" max="1" width="9.6640625" bestFit="1" customWidth="1"/>
    <col min="2" max="2" width="25.6640625" customWidth="1"/>
    <col min="3" max="3" width="16.77734375" bestFit="1" customWidth="1"/>
  </cols>
  <sheetData>
    <row r="1" spans="1:3" ht="33" customHeight="1" thickTop="1" x14ac:dyDescent="0.25">
      <c r="A1" s="40" t="s">
        <v>91</v>
      </c>
      <c r="B1" s="40" t="s">
        <v>92</v>
      </c>
      <c r="C1" s="40" t="s">
        <v>97</v>
      </c>
    </row>
    <row r="2" spans="1:3" ht="28.05" customHeight="1" x14ac:dyDescent="0.25">
      <c r="A2" s="87" t="s">
        <v>93</v>
      </c>
      <c r="B2" s="27" t="s">
        <v>94</v>
      </c>
      <c r="C2" s="27">
        <v>0.15</v>
      </c>
    </row>
    <row r="3" spans="1:3" ht="28.05" customHeight="1" x14ac:dyDescent="0.25">
      <c r="A3" s="88"/>
      <c r="B3" s="28" t="s">
        <v>95</v>
      </c>
      <c r="C3" s="28">
        <v>0.45</v>
      </c>
    </row>
    <row r="4" spans="1:3" ht="28.05" customHeight="1" x14ac:dyDescent="0.25">
      <c r="A4" s="88"/>
      <c r="B4" s="28" t="s">
        <v>96</v>
      </c>
      <c r="C4" s="28">
        <v>0.55000000000000004</v>
      </c>
    </row>
    <row r="5" spans="1:3" ht="28.05" customHeight="1" thickBot="1" x14ac:dyDescent="0.3">
      <c r="A5" s="89"/>
      <c r="B5" s="19" t="s">
        <v>78</v>
      </c>
      <c r="C5" s="19">
        <v>0.6</v>
      </c>
    </row>
    <row r="6" spans="1:3" ht="13.8" thickTop="1" x14ac:dyDescent="0.25"/>
  </sheetData>
  <mergeCells count="1">
    <mergeCell ref="A2:A5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6" workbookViewId="0">
      <selection activeCell="C23" sqref="C23"/>
    </sheetView>
  </sheetViews>
  <sheetFormatPr defaultColWidth="10.77734375" defaultRowHeight="17.399999999999999" x14ac:dyDescent="0.25"/>
  <cols>
    <col min="1" max="1" width="64.33203125" style="15" bestFit="1" customWidth="1"/>
    <col min="2" max="7" width="28.33203125" style="15" customWidth="1"/>
    <col min="8" max="16384" width="10.77734375" style="15"/>
  </cols>
  <sheetData>
    <row r="1" spans="1:7" ht="28.05" customHeight="1" thickTop="1" x14ac:dyDescent="0.25">
      <c r="A1" s="90" t="s">
        <v>76</v>
      </c>
      <c r="B1" s="92" t="s">
        <v>98</v>
      </c>
      <c r="C1" s="92"/>
      <c r="D1" s="92"/>
      <c r="E1" s="93"/>
      <c r="F1" s="93"/>
      <c r="G1" s="93"/>
    </row>
    <row r="2" spans="1:7" ht="28.05" customHeight="1" x14ac:dyDescent="0.25">
      <c r="A2" s="91"/>
      <c r="B2" s="94" t="s">
        <v>78</v>
      </c>
      <c r="C2" s="95"/>
      <c r="D2" s="94" t="s">
        <v>79</v>
      </c>
      <c r="E2" s="95"/>
      <c r="F2" s="94" t="s">
        <v>80</v>
      </c>
      <c r="G2" s="95"/>
    </row>
    <row r="3" spans="1:7" ht="28.05" customHeight="1" x14ac:dyDescent="0.25">
      <c r="A3" s="88"/>
      <c r="B3" s="39" t="s">
        <v>57</v>
      </c>
      <c r="C3" s="39" t="s">
        <v>56</v>
      </c>
      <c r="D3" s="39" t="s">
        <v>57</v>
      </c>
      <c r="E3" s="39" t="s">
        <v>56</v>
      </c>
      <c r="F3" s="39" t="s">
        <v>57</v>
      </c>
      <c r="G3" s="39" t="s">
        <v>56</v>
      </c>
    </row>
    <row r="4" spans="1:7" ht="28.05" customHeight="1" x14ac:dyDescent="0.25">
      <c r="A4" s="27" t="s">
        <v>66</v>
      </c>
      <c r="B4" s="27">
        <v>9</v>
      </c>
      <c r="C4" s="27">
        <v>26</v>
      </c>
      <c r="D4" s="27">
        <v>5</v>
      </c>
      <c r="E4" s="27">
        <v>22</v>
      </c>
      <c r="F4" s="27">
        <v>5</v>
      </c>
      <c r="G4" s="27">
        <v>22</v>
      </c>
    </row>
    <row r="5" spans="1:7" ht="28.05" customHeight="1" x14ac:dyDescent="0.25">
      <c r="A5" s="3" t="s">
        <v>67</v>
      </c>
      <c r="B5" s="3">
        <v>20</v>
      </c>
      <c r="C5" s="3">
        <v>15</v>
      </c>
      <c r="D5" s="3">
        <v>16</v>
      </c>
      <c r="E5" s="15">
        <v>11</v>
      </c>
      <c r="F5" s="3">
        <v>16</v>
      </c>
      <c r="G5" s="15">
        <v>11</v>
      </c>
    </row>
    <row r="6" spans="1:7" ht="28.05" customHeight="1" x14ac:dyDescent="0.25">
      <c r="A6" s="3" t="s">
        <v>68</v>
      </c>
      <c r="B6" s="3">
        <v>13</v>
      </c>
      <c r="C6" s="3">
        <v>15</v>
      </c>
      <c r="D6" s="3">
        <v>9</v>
      </c>
      <c r="E6" s="15">
        <v>18</v>
      </c>
      <c r="F6" s="3">
        <v>9</v>
      </c>
      <c r="G6" s="15">
        <v>18</v>
      </c>
    </row>
    <row r="7" spans="1:7" ht="28.05" customHeight="1" x14ac:dyDescent="0.25">
      <c r="A7" s="3" t="s">
        <v>69</v>
      </c>
      <c r="B7" s="3">
        <v>9</v>
      </c>
      <c r="C7" s="3">
        <v>26</v>
      </c>
      <c r="D7" s="3">
        <v>4</v>
      </c>
      <c r="E7" s="15">
        <v>26</v>
      </c>
      <c r="F7" s="3">
        <v>4</v>
      </c>
      <c r="G7" s="15">
        <v>26</v>
      </c>
    </row>
    <row r="8" spans="1:7" ht="28.05" customHeight="1" x14ac:dyDescent="0.25">
      <c r="A8" s="3" t="s">
        <v>70</v>
      </c>
      <c r="B8" s="3">
        <v>15</v>
      </c>
      <c r="C8" s="3">
        <v>22</v>
      </c>
      <c r="D8" s="3">
        <v>13</v>
      </c>
      <c r="E8" s="15">
        <v>16</v>
      </c>
      <c r="F8" s="3">
        <v>13</v>
      </c>
      <c r="G8" s="15">
        <v>16</v>
      </c>
    </row>
    <row r="9" spans="1:7" ht="28.05" customHeight="1" x14ac:dyDescent="0.25">
      <c r="A9" s="16" t="s">
        <v>71</v>
      </c>
      <c r="B9" s="16">
        <v>33</v>
      </c>
      <c r="C9" s="16"/>
      <c r="D9" s="16">
        <v>26</v>
      </c>
      <c r="E9" s="16"/>
      <c r="F9" s="16">
        <v>26</v>
      </c>
      <c r="G9" s="17" t="s">
        <v>23</v>
      </c>
    </row>
    <row r="10" spans="1:7" ht="28.05" customHeight="1" x14ac:dyDescent="0.25">
      <c r="A10" s="16" t="s">
        <v>72</v>
      </c>
      <c r="B10" s="16">
        <v>9</v>
      </c>
      <c r="C10" s="16">
        <v>26</v>
      </c>
      <c r="D10" s="16">
        <v>4</v>
      </c>
      <c r="E10" s="16">
        <v>26</v>
      </c>
      <c r="F10" s="16">
        <v>4</v>
      </c>
      <c r="G10" s="17">
        <v>26</v>
      </c>
    </row>
    <row r="11" spans="1:7" ht="28.05" customHeight="1" thickBot="1" x14ac:dyDescent="0.3">
      <c r="A11" s="19" t="s">
        <v>73</v>
      </c>
      <c r="B11" s="19"/>
      <c r="C11" s="19"/>
      <c r="D11" s="19"/>
      <c r="E11" s="19"/>
      <c r="F11" s="19">
        <v>22</v>
      </c>
      <c r="G11" s="19"/>
    </row>
    <row r="12" spans="1:7" ht="28.05" customHeight="1" thickTop="1" x14ac:dyDescent="0.25"/>
    <row r="13" spans="1:7" ht="28.05" customHeight="1" thickBot="1" x14ac:dyDescent="0.3"/>
    <row r="14" spans="1:7" ht="28.05" customHeight="1" thickTop="1" x14ac:dyDescent="0.25">
      <c r="A14" s="90" t="s">
        <v>76</v>
      </c>
      <c r="B14" s="92" t="s">
        <v>99</v>
      </c>
      <c r="C14" s="92"/>
      <c r="D14" s="92"/>
      <c r="E14" s="93"/>
      <c r="F14" s="93"/>
      <c r="G14" s="93"/>
    </row>
    <row r="15" spans="1:7" ht="28.05" customHeight="1" x14ac:dyDescent="0.25">
      <c r="A15" s="91"/>
      <c r="B15" s="94" t="s">
        <v>78</v>
      </c>
      <c r="C15" s="95"/>
      <c r="D15" s="94" t="s">
        <v>79</v>
      </c>
      <c r="E15" s="95"/>
      <c r="F15" s="94" t="s">
        <v>80</v>
      </c>
      <c r="G15" s="95"/>
    </row>
    <row r="16" spans="1:7" ht="28.05" customHeight="1" x14ac:dyDescent="0.25">
      <c r="A16" s="88"/>
      <c r="B16" s="39" t="s">
        <v>57</v>
      </c>
      <c r="C16" s="39" t="s">
        <v>56</v>
      </c>
      <c r="D16" s="39" t="s">
        <v>57</v>
      </c>
      <c r="E16" s="39" t="s">
        <v>56</v>
      </c>
      <c r="F16" s="39" t="s">
        <v>57</v>
      </c>
      <c r="G16" s="39" t="s">
        <v>56</v>
      </c>
    </row>
    <row r="17" spans="1:7" ht="28.05" customHeight="1" x14ac:dyDescent="0.25">
      <c r="A17" s="27" t="s">
        <v>66</v>
      </c>
      <c r="B17" s="27">
        <f>IF($A17=Base!$B$34,Base!$B$17*'Peso animali'!$C$5*'Deiezioni Bovini'!B4,"")</f>
        <v>0</v>
      </c>
      <c r="C17" s="27">
        <f>IF($A17=Base!$B$34,Base!$B$17*'Peso animali'!$C$5*'Deiezioni Bovini'!C4,"")</f>
        <v>0</v>
      </c>
      <c r="D17" s="27" t="str">
        <f>IF($A17=Base!$B$35,Base!$B$18*'Peso animali'!$C$3*'Deiezioni Bovini'!D4,"")</f>
        <v/>
      </c>
      <c r="E17" s="27" t="str">
        <f>IF($A17=Base!$B$35,Base!$B$18*'Peso animali'!$C$3*'Deiezioni Bovini'!E4,"")</f>
        <v/>
      </c>
      <c r="F17" s="27" t="str">
        <f>IF($A17=Base!$B$36,Base!$B$19*'Peso animali'!$C$2*'Deiezioni Bovini'!F4,"")</f>
        <v/>
      </c>
      <c r="G17" s="27" t="str">
        <f>IF($A17=Base!$B$36,Base!$B$19*'Peso animali'!$C$2*'Deiezioni Bovini'!G4,"")</f>
        <v/>
      </c>
    </row>
    <row r="18" spans="1:7" ht="28.05" customHeight="1" x14ac:dyDescent="0.25">
      <c r="A18" s="17" t="s">
        <v>67</v>
      </c>
      <c r="B18" s="17" t="str">
        <f>IF($A18=Base!$B$34,Base!$B$17*'Peso animali'!$C$5*'Deiezioni Bovini'!B5,"")</f>
        <v/>
      </c>
      <c r="C18" s="17" t="str">
        <f>IF($A18=Base!$B$34,Base!$B$17*'Peso animali'!$C$5*'Deiezioni Bovini'!C5,"")</f>
        <v/>
      </c>
      <c r="D18" s="17" t="str">
        <f>IF($A18=Base!$B$35,Base!$B$18*'Peso animali'!$C$3*'Deiezioni Bovini'!D5,"")</f>
        <v/>
      </c>
      <c r="E18" s="17" t="str">
        <f>IF($A18=Base!$B$35,Base!$B$18*'Peso animali'!$C$3*'Deiezioni Bovini'!E5,"")</f>
        <v/>
      </c>
      <c r="F18" s="17" t="str">
        <f>IF($A18=Base!$B$36,Base!$B$19*'Peso animali'!$C$2*'Deiezioni Bovini'!F5,"")</f>
        <v/>
      </c>
      <c r="G18" s="17" t="str">
        <f>IF($A18=Base!$B$36,Base!$B$19*'Peso animali'!$C$2*'Deiezioni Bovini'!G5,"")</f>
        <v/>
      </c>
    </row>
    <row r="19" spans="1:7" ht="28.05" customHeight="1" x14ac:dyDescent="0.25">
      <c r="A19" s="17" t="s">
        <v>68</v>
      </c>
      <c r="B19" s="17" t="str">
        <f>IF($A19=Base!$B$34,Base!$B$17*'Peso animali'!$C$5*'Deiezioni Bovini'!B6,"")</f>
        <v/>
      </c>
      <c r="C19" s="17" t="str">
        <f>IF($A19=Base!$B$34,Base!$B$17*'Peso animali'!$C$5*'Deiezioni Bovini'!C6,"")</f>
        <v/>
      </c>
      <c r="D19" s="17" t="str">
        <f>IF($A19=Base!$B$35,Base!$B$18*'Peso animali'!$C$3*'Deiezioni Bovini'!D6,"")</f>
        <v/>
      </c>
      <c r="E19" s="17" t="str">
        <f>IF($A19=Base!$B$35,Base!$B$18*'Peso animali'!$C$3*'Deiezioni Bovini'!E6,"")</f>
        <v/>
      </c>
      <c r="F19" s="17" t="str">
        <f>IF($A19=Base!$B$36,Base!$B$19*'Peso animali'!$C$2*'Deiezioni Bovini'!F6,"")</f>
        <v/>
      </c>
      <c r="G19" s="17" t="str">
        <f>IF($A19=Base!$B$36,Base!$B$19*'Peso animali'!$C$2*'Deiezioni Bovini'!G6,"")</f>
        <v/>
      </c>
    </row>
    <row r="20" spans="1:7" ht="28.05" customHeight="1" x14ac:dyDescent="0.25">
      <c r="A20" s="17" t="s">
        <v>69</v>
      </c>
      <c r="B20" s="17" t="str">
        <f>IF($A20=Base!$B$34,Base!$B$17*'Peso animali'!$C$5*'Deiezioni Bovini'!B7,"")</f>
        <v/>
      </c>
      <c r="C20" s="17" t="str">
        <f>IF($A20=Base!$B$34,Base!$B$17*'Peso animali'!$C$5*'Deiezioni Bovini'!C7,"")</f>
        <v/>
      </c>
      <c r="D20" s="17" t="str">
        <f>IF($A20=Base!$B$35,Base!$B$18*'Peso animali'!$C$3*'Deiezioni Bovini'!D7,"")</f>
        <v/>
      </c>
      <c r="E20" s="17" t="str">
        <f>IF($A20=Base!$B$35,Base!$B$18*'Peso animali'!$C$3*'Deiezioni Bovini'!E7,"")</f>
        <v/>
      </c>
      <c r="F20" s="17" t="str">
        <f>IF($A20=Base!$B$36,Base!$B$19*'Peso animali'!$C$2*'Deiezioni Bovini'!F7,"")</f>
        <v/>
      </c>
      <c r="G20" s="17" t="str">
        <f>IF($A20=Base!$B$36,Base!$B$19*'Peso animali'!$C$2*'Deiezioni Bovini'!G7,"")</f>
        <v/>
      </c>
    </row>
    <row r="21" spans="1:7" ht="28.05" customHeight="1" x14ac:dyDescent="0.25">
      <c r="A21" s="17" t="s">
        <v>70</v>
      </c>
      <c r="B21" s="17" t="str">
        <f>IF($A21=Base!$B$34,Base!$B$17*'Peso animali'!$C$5*'Deiezioni Bovini'!B8,"")</f>
        <v/>
      </c>
      <c r="C21" s="17" t="str">
        <f>IF($A21=Base!$B$34,Base!$B$17*'Peso animali'!$C$5*'Deiezioni Bovini'!C8,"")</f>
        <v/>
      </c>
      <c r="D21" s="17" t="str">
        <f>IF($A21=Base!$B$35,Base!$B$18*'Peso animali'!$C$3*'Deiezioni Bovini'!D8,"")</f>
        <v/>
      </c>
      <c r="E21" s="17" t="str">
        <f>IF($A21=Base!$B$35,Base!$B$18*'Peso animali'!$C$3*'Deiezioni Bovini'!E8,"")</f>
        <v/>
      </c>
      <c r="F21" s="17" t="str">
        <f>IF($A21=Base!$B$36,Base!$B$19*'Peso animali'!$C$2*'Deiezioni Bovini'!F8,"")</f>
        <v/>
      </c>
      <c r="G21" s="17" t="str">
        <f>IF($A21=Base!$B$36,Base!$B$19*'Peso animali'!$C$2*'Deiezioni Bovini'!G8,"")</f>
        <v/>
      </c>
    </row>
    <row r="22" spans="1:7" ht="28.05" customHeight="1" x14ac:dyDescent="0.25">
      <c r="A22" s="17" t="s">
        <v>71</v>
      </c>
      <c r="B22" s="17" t="str">
        <f>IF($A22=Base!$B$34,Base!$B$17*'Peso animali'!$C$5*'Deiezioni Bovini'!B9,"")</f>
        <v/>
      </c>
      <c r="C22" s="17" t="str">
        <f>IF($A22=Base!$B$34,Base!$B$17*'Peso animali'!$C$5*'Deiezioni Bovini'!C9,"")</f>
        <v/>
      </c>
      <c r="D22" s="17" t="str">
        <f>IF($A22=Base!$B$35,Base!$B$18*'Peso animali'!$C$3*'Deiezioni Bovini'!D9,"")</f>
        <v/>
      </c>
      <c r="E22" s="17" t="str">
        <f>IF($A22=Base!$B$35,Base!$B$18*'Peso animali'!$C$3*'Deiezioni Bovini'!E9,"")</f>
        <v/>
      </c>
      <c r="F22" s="17" t="str">
        <f>IF($A22=Base!$B$36,Base!$B$19*'Peso animali'!$C$2*'Deiezioni Bovini'!F9,"")</f>
        <v/>
      </c>
      <c r="G22" s="17" t="str">
        <f>IF($A22=Base!$B$36,Base!$B$19*'Peso animali'!$C$2*'Deiezioni Bovini'!G9,"")</f>
        <v/>
      </c>
    </row>
    <row r="23" spans="1:7" ht="28.05" customHeight="1" x14ac:dyDescent="0.25">
      <c r="A23" s="17" t="s">
        <v>72</v>
      </c>
      <c r="B23" s="17" t="str">
        <f>IF($A23=Base!$B$34,Base!$B$17*'Peso animali'!$C$5*'Deiezioni Bovini'!B10,"")</f>
        <v/>
      </c>
      <c r="C23" s="17" t="str">
        <f>IF($A23=Base!$B$34,Base!$B$17*'Peso animali'!$C$5*'Deiezioni Bovini'!C10,"")</f>
        <v/>
      </c>
      <c r="D23" s="17">
        <f>IF($A23=Base!$B$35,Base!$B$18*'Peso animali'!$C$3*'Deiezioni Bovini'!D10,"")</f>
        <v>0</v>
      </c>
      <c r="E23" s="17">
        <f>IF($A23=Base!$B$35,Base!$B$18*'Peso animali'!$C$3*'Deiezioni Bovini'!E10,"")</f>
        <v>0</v>
      </c>
      <c r="F23" s="17" t="str">
        <f>IF($A23=Base!$B$36,Base!$B$19*'Peso animali'!$C$2*'Deiezioni Bovini'!F10,"")</f>
        <v/>
      </c>
      <c r="G23" s="17" t="str">
        <f>IF($A23=Base!$B$36,Base!$B$19*'Peso animali'!$C$2*'Deiezioni Bovini'!G10,"")</f>
        <v/>
      </c>
    </row>
    <row r="24" spans="1:7" ht="28.05" customHeight="1" x14ac:dyDescent="0.25">
      <c r="A24" s="21" t="s">
        <v>73</v>
      </c>
      <c r="B24" s="17" t="str">
        <f>IF($A24=Base!$B$34,Base!$B$17*'Peso animali'!$C$5*'Deiezioni Bovini'!B11,"")</f>
        <v/>
      </c>
      <c r="C24" s="17" t="str">
        <f>IF($A24=Base!$B$34,Base!$B$17*'Peso animali'!$C$5*'Deiezioni Bovini'!C11,"")</f>
        <v/>
      </c>
      <c r="D24" s="17" t="str">
        <f>IF($A24=Base!$B$35,Base!$B$18*'Peso animali'!$C$3*'Deiezioni Bovini'!D11,"")</f>
        <v/>
      </c>
      <c r="E24" s="17" t="str">
        <f>IF($A24=Base!$B$35,Base!$B$18*'Peso animali'!$C$3*'Deiezioni Bovini'!E11,"")</f>
        <v/>
      </c>
      <c r="F24" s="17">
        <f>IF($A24=Base!$B$36,Base!$B$19*'Peso animali'!$C$2*'Deiezioni Bovini'!F11,"")</f>
        <v>0</v>
      </c>
      <c r="G24" s="17">
        <f>IF($A24=Base!$B$36,Base!$B$19*'Peso animali'!$C$2*'Deiezioni Bovini'!G11,"")</f>
        <v>0</v>
      </c>
    </row>
    <row r="25" spans="1:7" ht="28.05" customHeight="1" thickBot="1" x14ac:dyDescent="0.3">
      <c r="A25" s="31" t="s">
        <v>24</v>
      </c>
      <c r="B25" s="31">
        <f>SUM(B17:B24)</f>
        <v>0</v>
      </c>
      <c r="C25" s="31">
        <f t="shared" ref="C25:G25" si="0">SUM(C17:C24)</f>
        <v>0</v>
      </c>
      <c r="D25" s="31">
        <f t="shared" si="0"/>
        <v>0</v>
      </c>
      <c r="E25" s="31">
        <f t="shared" si="0"/>
        <v>0</v>
      </c>
      <c r="F25" s="31">
        <f t="shared" si="0"/>
        <v>0</v>
      </c>
      <c r="G25" s="31">
        <f t="shared" si="0"/>
        <v>0</v>
      </c>
    </row>
    <row r="26" spans="1:7" ht="28.05" customHeight="1" thickTop="1" x14ac:dyDescent="0.25"/>
    <row r="27" spans="1:7" ht="28.05" customHeight="1" x14ac:dyDescent="0.25"/>
    <row r="28" spans="1:7" ht="28.05" customHeight="1" x14ac:dyDescent="0.25"/>
  </sheetData>
  <mergeCells count="10">
    <mergeCell ref="B1:G1"/>
    <mergeCell ref="A1:A3"/>
    <mergeCell ref="B2:C2"/>
    <mergeCell ref="D2:E2"/>
    <mergeCell ref="F2:G2"/>
    <mergeCell ref="A14:A16"/>
    <mergeCell ref="B14:G14"/>
    <mergeCell ref="B15:C15"/>
    <mergeCell ref="D15:E15"/>
    <mergeCell ref="F15:G15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zoomScale="150" zoomScaleNormal="150" zoomScalePageLayoutView="150" workbookViewId="0">
      <selection activeCell="F29" sqref="F29"/>
    </sheetView>
  </sheetViews>
  <sheetFormatPr defaultColWidth="9.109375" defaultRowHeight="13.2" x14ac:dyDescent="0.25"/>
  <cols>
    <col min="1" max="2" width="18.77734375" style="1" customWidth="1"/>
    <col min="3" max="3" width="5.109375" style="1" customWidth="1"/>
    <col min="4" max="4" width="1.77734375" style="1" bestFit="1" customWidth="1"/>
    <col min="5" max="5" width="6.109375" style="1" customWidth="1"/>
    <col min="6" max="6" width="6.6640625" style="1" customWidth="1"/>
    <col min="7" max="7" width="2" style="1" bestFit="1" customWidth="1"/>
    <col min="8" max="8" width="9.33203125" style="1" customWidth="1"/>
    <col min="9" max="9" width="13.88671875" style="1" bestFit="1" customWidth="1"/>
    <col min="10" max="10" width="5.44140625" style="1" bestFit="1" customWidth="1"/>
    <col min="11" max="11" width="2" style="1" bestFit="1" customWidth="1"/>
    <col min="12" max="12" width="5.109375" style="1" bestFit="1" customWidth="1"/>
    <col min="13" max="13" width="8.109375" style="1" bestFit="1" customWidth="1"/>
    <col min="14" max="14" width="10" style="8" bestFit="1" customWidth="1"/>
    <col min="15" max="15" width="10.77734375" style="8" bestFit="1" customWidth="1"/>
    <col min="16" max="16" width="11.6640625" style="8" bestFit="1" customWidth="1"/>
    <col min="17" max="19" width="9.109375" style="8"/>
    <col min="20" max="20" width="8.33203125" style="8" bestFit="1" customWidth="1"/>
    <col min="21" max="21" width="11.6640625" style="8" bestFit="1" customWidth="1"/>
    <col min="22" max="29" width="9.109375" style="8"/>
    <col min="30" max="16384" width="9.109375" style="1"/>
  </cols>
  <sheetData>
    <row r="1" spans="1:21" ht="28.05" customHeight="1" thickTop="1" x14ac:dyDescent="0.25">
      <c r="A1" s="98" t="s">
        <v>39</v>
      </c>
      <c r="B1" s="34" t="s">
        <v>104</v>
      </c>
      <c r="C1" s="93" t="s">
        <v>40</v>
      </c>
      <c r="D1" s="93"/>
      <c r="E1" s="93"/>
      <c r="F1" s="93" t="s">
        <v>41</v>
      </c>
      <c r="G1" s="93"/>
      <c r="H1" s="93"/>
      <c r="I1" s="35" t="s">
        <v>42</v>
      </c>
      <c r="J1" s="93" t="s">
        <v>43</v>
      </c>
      <c r="K1" s="93"/>
      <c r="L1" s="93"/>
      <c r="M1" s="93"/>
      <c r="N1" s="93"/>
      <c r="O1" s="99" t="s">
        <v>44</v>
      </c>
      <c r="P1" s="93"/>
      <c r="U1" s="9" t="s">
        <v>77</v>
      </c>
    </row>
    <row r="2" spans="1:21" ht="28.05" customHeight="1" thickBot="1" x14ac:dyDescent="0.3">
      <c r="A2" s="89"/>
      <c r="B2" s="36" t="s">
        <v>103</v>
      </c>
      <c r="C2" s="89" t="s">
        <v>45</v>
      </c>
      <c r="D2" s="89"/>
      <c r="E2" s="89"/>
      <c r="F2" s="89" t="s">
        <v>45</v>
      </c>
      <c r="G2" s="89"/>
      <c r="H2" s="89"/>
      <c r="I2" s="37" t="s">
        <v>107</v>
      </c>
      <c r="J2" s="89" t="s">
        <v>108</v>
      </c>
      <c r="K2" s="89"/>
      <c r="L2" s="89"/>
      <c r="M2" s="37" t="s">
        <v>109</v>
      </c>
      <c r="N2" s="38" t="s">
        <v>110</v>
      </c>
      <c r="O2" s="38" t="s">
        <v>46</v>
      </c>
      <c r="P2" s="38" t="s">
        <v>111</v>
      </c>
      <c r="T2" s="9" t="s">
        <v>22</v>
      </c>
      <c r="U2" s="9">
        <v>35.299999999999997</v>
      </c>
    </row>
    <row r="3" spans="1:21" ht="28.05" customHeight="1" thickTop="1" x14ac:dyDescent="0.25">
      <c r="A3" s="33" t="s">
        <v>112</v>
      </c>
      <c r="B3" s="29"/>
      <c r="C3" s="50">
        <v>6</v>
      </c>
      <c r="D3" s="29" t="s">
        <v>23</v>
      </c>
      <c r="E3" s="51">
        <v>11</v>
      </c>
      <c r="F3" s="52">
        <v>4.0999999999999996</v>
      </c>
      <c r="G3" s="29" t="s">
        <v>23</v>
      </c>
      <c r="H3" s="53">
        <v>9.4</v>
      </c>
      <c r="I3" s="13" t="s">
        <v>47</v>
      </c>
      <c r="J3" s="11" t="s">
        <v>48</v>
      </c>
      <c r="K3" s="29" t="s">
        <v>23</v>
      </c>
      <c r="L3" s="12" t="s">
        <v>49</v>
      </c>
      <c r="M3" s="9">
        <f>((J3+L3)/2)/100*((F3+H3)/2)</f>
        <v>15.524999999999999</v>
      </c>
      <c r="N3" s="9">
        <f>M3*I3</f>
        <v>15.524999999999999</v>
      </c>
      <c r="O3" s="9">
        <v>55</v>
      </c>
      <c r="P3" s="9">
        <f>$U$2*O3/100</f>
        <v>19.414999999999999</v>
      </c>
      <c r="U3" s="9"/>
    </row>
    <row r="4" spans="1:21" s="1" customFormat="1" ht="28.05" customHeight="1" x14ac:dyDescent="0.25">
      <c r="A4" s="33" t="s">
        <v>113</v>
      </c>
      <c r="B4" s="26"/>
      <c r="C4" s="50">
        <v>11</v>
      </c>
      <c r="D4" s="10" t="s">
        <v>23</v>
      </c>
      <c r="E4" s="51">
        <v>25</v>
      </c>
      <c r="F4" s="52">
        <v>7.2</v>
      </c>
      <c r="G4" s="10" t="s">
        <v>23</v>
      </c>
      <c r="H4" s="53">
        <v>21.3</v>
      </c>
      <c r="I4" s="13" t="s">
        <v>50</v>
      </c>
      <c r="J4" s="11" t="s">
        <v>48</v>
      </c>
      <c r="K4" s="10" t="s">
        <v>23</v>
      </c>
      <c r="L4" s="12" t="s">
        <v>51</v>
      </c>
      <c r="M4" s="9">
        <f t="shared" ref="M4" si="0">((J4+L4)/2)/100*((F4+H4)/2)</f>
        <v>35.625</v>
      </c>
      <c r="N4" s="9" t="e">
        <f t="shared" ref="N4" si="1">M4*I4</f>
        <v>#VALUE!</v>
      </c>
      <c r="O4" s="9">
        <v>55</v>
      </c>
      <c r="P4" s="9">
        <f t="shared" ref="P4:P8" si="2">$U$2*O4/100</f>
        <v>19.414999999999999</v>
      </c>
      <c r="Q4" s="8"/>
      <c r="R4" s="8"/>
      <c r="S4" s="8"/>
      <c r="T4" s="8"/>
      <c r="U4" s="8"/>
    </row>
    <row r="5" spans="1:21" s="1" customFormat="1" ht="28.05" customHeight="1" x14ac:dyDescent="0.25">
      <c r="A5" s="2" t="s">
        <v>114</v>
      </c>
      <c r="B5" s="1">
        <v>5</v>
      </c>
      <c r="F5" s="52">
        <v>62</v>
      </c>
      <c r="G5" s="10"/>
      <c r="H5" s="53">
        <v>62</v>
      </c>
      <c r="I5" s="1">
        <v>0.4</v>
      </c>
      <c r="J5" s="1">
        <v>300</v>
      </c>
      <c r="K5" s="1" t="s">
        <v>23</v>
      </c>
      <c r="L5" s="1">
        <v>700</v>
      </c>
      <c r="M5" s="9">
        <f>((J5+L5)/2)/100*((F5+H5)/2)</f>
        <v>310</v>
      </c>
      <c r="N5" s="9">
        <f>M5*I5</f>
        <v>124</v>
      </c>
      <c r="O5" s="8">
        <v>54</v>
      </c>
      <c r="P5" s="9">
        <f>$U$2*O5/100</f>
        <v>19.061999999999998</v>
      </c>
      <c r="Q5" s="8"/>
      <c r="R5" s="8"/>
      <c r="S5" s="8"/>
      <c r="T5" s="8"/>
      <c r="U5" s="8"/>
    </row>
    <row r="6" spans="1:21" s="1" customFormat="1" ht="28.05" customHeight="1" x14ac:dyDescent="0.25">
      <c r="A6" s="33" t="s">
        <v>115</v>
      </c>
      <c r="B6" s="26">
        <v>50</v>
      </c>
      <c r="C6" s="24"/>
      <c r="D6" s="10"/>
      <c r="E6" s="25"/>
      <c r="F6" s="52">
        <v>31</v>
      </c>
      <c r="G6" s="10" t="s">
        <v>23</v>
      </c>
      <c r="H6" s="53">
        <v>31</v>
      </c>
      <c r="I6" s="9"/>
      <c r="J6" s="9" t="s">
        <v>74</v>
      </c>
      <c r="K6" s="9"/>
      <c r="L6" s="9" t="s">
        <v>74</v>
      </c>
      <c r="M6" s="9">
        <f t="shared" ref="M6:M8" si="3">((J6+L6)/2)/100*((F6+H6)/2)</f>
        <v>186</v>
      </c>
      <c r="N6" s="9"/>
      <c r="O6" s="9">
        <v>53</v>
      </c>
      <c r="P6" s="9">
        <f t="shared" si="2"/>
        <v>18.709</v>
      </c>
      <c r="Q6" s="8"/>
      <c r="R6" s="8"/>
      <c r="S6" s="8"/>
      <c r="T6" s="8"/>
      <c r="U6" s="8"/>
    </row>
    <row r="7" spans="1:21" s="1" customFormat="1" ht="28.05" customHeight="1" x14ac:dyDescent="0.25">
      <c r="A7" s="33" t="s">
        <v>116</v>
      </c>
      <c r="B7" s="26">
        <v>25</v>
      </c>
      <c r="C7" s="24"/>
      <c r="D7" s="10"/>
      <c r="E7" s="25"/>
      <c r="F7" s="52">
        <v>24.8</v>
      </c>
      <c r="G7" s="10" t="s">
        <v>23</v>
      </c>
      <c r="H7" s="53">
        <v>24.8</v>
      </c>
      <c r="I7" s="9" t="s">
        <v>128</v>
      </c>
      <c r="J7" s="9" t="s">
        <v>75</v>
      </c>
      <c r="K7" s="9"/>
      <c r="L7" s="9" t="s">
        <v>75</v>
      </c>
      <c r="M7" s="9">
        <f t="shared" si="3"/>
        <v>138.88</v>
      </c>
      <c r="N7" s="9"/>
      <c r="O7" s="9">
        <v>52</v>
      </c>
      <c r="P7" s="9">
        <f t="shared" si="2"/>
        <v>18.355999999999998</v>
      </c>
      <c r="Q7" s="8"/>
      <c r="R7" s="8"/>
      <c r="S7" s="8"/>
      <c r="T7" s="8"/>
      <c r="U7" s="8"/>
    </row>
    <row r="8" spans="1:21" s="1" customFormat="1" ht="28.05" customHeight="1" thickBot="1" x14ac:dyDescent="0.3">
      <c r="A8" s="33" t="s">
        <v>117</v>
      </c>
      <c r="B8" s="29">
        <v>20</v>
      </c>
      <c r="C8" s="24"/>
      <c r="D8" s="29"/>
      <c r="E8" s="25"/>
      <c r="F8" s="52">
        <v>28.9</v>
      </c>
      <c r="G8" s="29" t="s">
        <v>23</v>
      </c>
      <c r="H8" s="53">
        <v>28.9</v>
      </c>
      <c r="I8" s="9"/>
      <c r="J8" s="9">
        <v>600</v>
      </c>
      <c r="K8" s="9"/>
      <c r="L8" s="9" t="s">
        <v>74</v>
      </c>
      <c r="M8" s="9">
        <f t="shared" si="3"/>
        <v>173.39999999999998</v>
      </c>
      <c r="N8" s="9"/>
      <c r="O8" s="9">
        <v>53</v>
      </c>
      <c r="P8" s="9">
        <f t="shared" si="2"/>
        <v>18.709</v>
      </c>
      <c r="Q8" s="8"/>
      <c r="R8" s="8"/>
      <c r="S8" s="8"/>
      <c r="T8" s="8"/>
      <c r="U8" s="8"/>
    </row>
    <row r="9" spans="1:21" s="1" customFormat="1" ht="36" customHeight="1" thickTop="1" thickBot="1" x14ac:dyDescent="0.3">
      <c r="A9" s="96" t="s">
        <v>120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8"/>
      <c r="R9" s="8"/>
      <c r="S9" s="8"/>
      <c r="T9" s="8"/>
      <c r="U9" s="8"/>
    </row>
    <row r="10" spans="1:21" s="1" customFormat="1" ht="13.8" thickTop="1" x14ac:dyDescent="0.25">
      <c r="N10" s="8"/>
      <c r="O10" s="8"/>
      <c r="P10" s="8"/>
      <c r="Q10" s="8"/>
      <c r="R10" s="8"/>
      <c r="S10" s="8"/>
      <c r="T10" s="8"/>
      <c r="U10" s="8"/>
    </row>
    <row r="14" spans="1:21" s="1" customFormat="1" x14ac:dyDescent="0.25">
      <c r="A14" s="10"/>
      <c r="B14" s="26"/>
      <c r="N14" s="8"/>
      <c r="O14" s="8"/>
      <c r="P14" s="8"/>
      <c r="Q14" s="8"/>
      <c r="R14" s="8"/>
      <c r="S14" s="8"/>
      <c r="T14" s="8"/>
      <c r="U14" s="8"/>
    </row>
    <row r="15" spans="1:21" s="1" customFormat="1" x14ac:dyDescent="0.25">
      <c r="A15" s="10"/>
      <c r="B15" s="26"/>
      <c r="N15" s="8"/>
      <c r="O15" s="8"/>
      <c r="P15" s="8"/>
      <c r="Q15" s="8"/>
      <c r="R15" s="8"/>
      <c r="S15" s="8"/>
      <c r="T15" s="8"/>
      <c r="U15" s="8"/>
    </row>
    <row r="16" spans="1:21" s="1" customFormat="1" x14ac:dyDescent="0.25">
      <c r="A16" s="10"/>
      <c r="B16" s="26"/>
      <c r="N16" s="8"/>
      <c r="O16" s="8"/>
      <c r="P16" s="8"/>
      <c r="Q16" s="8"/>
      <c r="R16" s="8"/>
      <c r="S16" s="8"/>
      <c r="T16" s="8"/>
      <c r="U16" s="8"/>
    </row>
  </sheetData>
  <mergeCells count="9">
    <mergeCell ref="A9:P9"/>
    <mergeCell ref="A1:A2"/>
    <mergeCell ref="C1:E1"/>
    <mergeCell ref="F1:H1"/>
    <mergeCell ref="J1:N1"/>
    <mergeCell ref="O1:P1"/>
    <mergeCell ref="C2:E2"/>
    <mergeCell ref="F2:H2"/>
    <mergeCell ref="J2:L2"/>
  </mergeCells>
  <pageMargins left="0.75" right="0.75" top="1" bottom="1" header="0.5" footer="0.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zoomScale="150" zoomScaleNormal="150" zoomScalePageLayoutView="150" workbookViewId="0">
      <selection activeCell="A15" sqref="A15:D22"/>
    </sheetView>
  </sheetViews>
  <sheetFormatPr defaultColWidth="10.77734375" defaultRowHeight="13.2" x14ac:dyDescent="0.25"/>
  <cols>
    <col min="1" max="1" width="19.33203125" style="14" bestFit="1" customWidth="1"/>
    <col min="2" max="2" width="9.6640625" style="14" bestFit="1" customWidth="1"/>
    <col min="3" max="3" width="9.6640625" style="14" customWidth="1"/>
    <col min="4" max="18" width="10.33203125" style="14" customWidth="1"/>
    <col min="19" max="16384" width="10.77734375" style="14"/>
  </cols>
  <sheetData>
    <row r="1" spans="1:23" ht="27" customHeight="1" thickTop="1" x14ac:dyDescent="0.25">
      <c r="A1" s="93" t="s">
        <v>39</v>
      </c>
      <c r="B1" s="93" t="s">
        <v>102</v>
      </c>
      <c r="C1" s="102" t="s">
        <v>121</v>
      </c>
      <c r="D1" s="104" t="s">
        <v>52</v>
      </c>
      <c r="E1" s="104"/>
      <c r="F1" s="105"/>
      <c r="G1" s="93" t="s">
        <v>53</v>
      </c>
      <c r="H1" s="93"/>
      <c r="I1" s="101"/>
      <c r="J1" s="93" t="s">
        <v>132</v>
      </c>
      <c r="K1" s="93"/>
      <c r="L1" s="101"/>
      <c r="M1" s="93" t="s">
        <v>58</v>
      </c>
      <c r="N1" s="93"/>
      <c r="O1" s="101"/>
      <c r="P1" s="88" t="s">
        <v>59</v>
      </c>
      <c r="Q1" s="88"/>
      <c r="R1" s="100"/>
      <c r="S1" s="88" t="s">
        <v>137</v>
      </c>
      <c r="T1" s="88"/>
      <c r="U1" s="100"/>
      <c r="V1" s="10"/>
      <c r="W1" s="10"/>
    </row>
    <row r="2" spans="1:23" ht="34.950000000000003" customHeight="1" x14ac:dyDescent="0.25">
      <c r="A2" s="95"/>
      <c r="B2" s="95"/>
      <c r="C2" s="103"/>
      <c r="D2" s="32" t="s">
        <v>55</v>
      </c>
      <c r="E2" s="32" t="s">
        <v>54</v>
      </c>
      <c r="F2" s="64" t="s">
        <v>131</v>
      </c>
      <c r="G2" s="64" t="s">
        <v>55</v>
      </c>
      <c r="H2" s="64" t="s">
        <v>54</v>
      </c>
      <c r="I2" s="64" t="s">
        <v>131</v>
      </c>
      <c r="J2" s="64" t="s">
        <v>55</v>
      </c>
      <c r="K2" s="64" t="s">
        <v>54</v>
      </c>
      <c r="L2" s="64" t="s">
        <v>131</v>
      </c>
      <c r="M2" s="64" t="s">
        <v>55</v>
      </c>
      <c r="N2" s="64" t="s">
        <v>54</v>
      </c>
      <c r="O2" s="64" t="s">
        <v>131</v>
      </c>
      <c r="P2" s="64" t="s">
        <v>55</v>
      </c>
      <c r="Q2" s="64" t="s">
        <v>54</v>
      </c>
      <c r="R2" s="64" t="s">
        <v>131</v>
      </c>
      <c r="S2" s="69" t="s">
        <v>55</v>
      </c>
      <c r="T2" s="69" t="s">
        <v>54</v>
      </c>
      <c r="U2" s="69" t="s">
        <v>131</v>
      </c>
      <c r="V2" s="10"/>
      <c r="W2" s="10"/>
    </row>
    <row r="3" spans="1:23" ht="28.05" customHeight="1" x14ac:dyDescent="0.25">
      <c r="A3" s="29" t="s">
        <v>37</v>
      </c>
      <c r="B3" s="30">
        <f>IF(Base!$B$30="",('Deiezioni Bovini'!B25+'Deiezioni Bovini'!D25+'Deiezioni Bovini'!F25),(('Deiezioni Bovini'!B25+'Deiezioni Bovini'!D25+'Deiezioni Bovini'!F25)*((12-Base!$B$30)/12))+(IF(Base!B41="",,Base!B41))-(IF(Base!B46="",,Base!B46)))</f>
        <v>0</v>
      </c>
      <c r="C3" s="30" t="s">
        <v>23</v>
      </c>
      <c r="D3" s="65">
        <f>B3*'Produzione Biogas'!C3/100</f>
        <v>0</v>
      </c>
      <c r="E3" s="65">
        <f>B3*'Produzione Biogas'!E3/100</f>
        <v>0</v>
      </c>
      <c r="F3" s="65">
        <f>AVERAGE(D3:E3)</f>
        <v>0</v>
      </c>
      <c r="G3" s="65">
        <f>B3*'Produzione Biogas'!F3/100</f>
        <v>0</v>
      </c>
      <c r="H3" s="65">
        <f>B3*'Produzione Biogas'!H3/100</f>
        <v>0</v>
      </c>
      <c r="I3" s="30">
        <f>AVERAGE(G3:H3)</f>
        <v>0</v>
      </c>
      <c r="J3" s="30">
        <f>G3*'Produzione Biogas'!J3</f>
        <v>0</v>
      </c>
      <c r="K3" s="30">
        <f>H3*'Produzione Biogas'!L3</f>
        <v>0</v>
      </c>
      <c r="L3" s="30">
        <f>AVERAGE(J3:K3)</f>
        <v>0</v>
      </c>
      <c r="M3" s="65">
        <f>J3*'Produzione Biogas'!$P3/3.57/1000</f>
        <v>0</v>
      </c>
      <c r="N3" s="65">
        <f>K3*'Produzione Biogas'!$P3/3.57/1000</f>
        <v>0</v>
      </c>
      <c r="O3" s="65">
        <f>AVERAGE(M3:N3)</f>
        <v>0</v>
      </c>
      <c r="P3" s="30">
        <f>M3*1000/7200*0.35</f>
        <v>0</v>
      </c>
      <c r="Q3" s="30">
        <f>N3*1000/7200*0.35</f>
        <v>0</v>
      </c>
      <c r="R3" s="30">
        <f>AVERAGE(P3:Q3)</f>
        <v>0</v>
      </c>
      <c r="S3" s="30">
        <f>P3</f>
        <v>0</v>
      </c>
      <c r="T3" s="30">
        <f t="shared" ref="T3:U3" si="0">Q3</f>
        <v>0</v>
      </c>
      <c r="U3" s="30">
        <f t="shared" si="0"/>
        <v>0</v>
      </c>
      <c r="V3" s="10"/>
      <c r="W3" s="10"/>
    </row>
    <row r="4" spans="1:23" ht="28.05" customHeight="1" x14ac:dyDescent="0.25">
      <c r="A4" s="29" t="s">
        <v>38</v>
      </c>
      <c r="B4" s="30">
        <f>IF(Base!$B$30="",('Deiezioni Bovini'!C25+'Deiezioni Bovini'!E25+'Deiezioni Bovini'!G25),('Deiezioni Bovini'!C25+'Deiezioni Bovini'!E25+'Deiezioni Bovini'!G25)*((12-Base!$B$30)/12))+(IF(Base!B42="",,Base!B42)-(IF(Base!B47="",,Base!B47)))</f>
        <v>0</v>
      </c>
      <c r="C4" s="30" t="s">
        <v>23</v>
      </c>
      <c r="D4" s="65">
        <f>B4*'Produzione Biogas'!C4/100</f>
        <v>0</v>
      </c>
      <c r="E4" s="65">
        <f>B4*'Produzione Biogas'!E4/100</f>
        <v>0</v>
      </c>
      <c r="F4" s="65">
        <f t="shared" ref="F4" si="1">AVERAGE(D4:E4)</f>
        <v>0</v>
      </c>
      <c r="G4" s="65">
        <f>B4*'Produzione Biogas'!F4/100</f>
        <v>0</v>
      </c>
      <c r="H4" s="65">
        <f>B4*'Produzione Biogas'!H4/100</f>
        <v>0</v>
      </c>
      <c r="I4" s="30">
        <f t="shared" ref="I4:I11" si="2">AVERAGE(G4:H4)</f>
        <v>0</v>
      </c>
      <c r="J4" s="30">
        <f>G4*'Produzione Biogas'!J4</f>
        <v>0</v>
      </c>
      <c r="K4" s="30">
        <f>H4*'Produzione Biogas'!L4</f>
        <v>0</v>
      </c>
      <c r="L4" s="30">
        <f t="shared" ref="L4:L11" si="3">AVERAGE(J4:K4)</f>
        <v>0</v>
      </c>
      <c r="M4" s="65">
        <f>J4*'Produzione Biogas'!$P4/3.57/1000</f>
        <v>0</v>
      </c>
      <c r="N4" s="65">
        <f>K4*'Produzione Biogas'!$P4/3.57/1000</f>
        <v>0</v>
      </c>
      <c r="O4" s="65">
        <f t="shared" ref="O4:O11" si="4">AVERAGE(M4:N4)</f>
        <v>0</v>
      </c>
      <c r="P4" s="30">
        <f>M4*1000/7200*0.35</f>
        <v>0</v>
      </c>
      <c r="Q4" s="30">
        <f>N4*1000/7200*0.35</f>
        <v>0</v>
      </c>
      <c r="R4" s="30">
        <f t="shared" ref="R4:R11" si="5">AVERAGE(P4:Q4)</f>
        <v>0</v>
      </c>
      <c r="S4" s="30">
        <f t="shared" ref="S4:S5" si="6">P4</f>
        <v>0</v>
      </c>
      <c r="T4" s="30">
        <f t="shared" ref="T4:T5" si="7">Q4</f>
        <v>0</v>
      </c>
      <c r="U4" s="30">
        <f t="shared" ref="U4:U5" si="8">R4</f>
        <v>0</v>
      </c>
      <c r="V4" s="10"/>
      <c r="W4" s="10"/>
    </row>
    <row r="5" spans="1:23" ht="28.05" customHeight="1" x14ac:dyDescent="0.25">
      <c r="A5" s="41" t="s">
        <v>106</v>
      </c>
      <c r="B5" s="42">
        <f>Base!B26*'Produzione Biogas'!B5</f>
        <v>0</v>
      </c>
      <c r="C5" s="42">
        <v>10</v>
      </c>
      <c r="D5" s="66" t="s">
        <v>23</v>
      </c>
      <c r="E5" s="66" t="s">
        <v>23</v>
      </c>
      <c r="F5" s="66"/>
      <c r="G5" s="66">
        <f>B5*'Produzione Biogas'!F5/100</f>
        <v>0</v>
      </c>
      <c r="H5" s="66">
        <f>B5*'Produzione Biogas'!H5/100</f>
        <v>0</v>
      </c>
      <c r="I5" s="42">
        <f t="shared" si="2"/>
        <v>0</v>
      </c>
      <c r="J5" s="42">
        <f>G5*'Produzione Biogas'!J5</f>
        <v>0</v>
      </c>
      <c r="K5" s="42">
        <f>H5*'Produzione Biogas'!L5</f>
        <v>0</v>
      </c>
      <c r="L5" s="42">
        <f t="shared" si="3"/>
        <v>0</v>
      </c>
      <c r="M5" s="66">
        <f>J5*'Produzione Biogas'!$P5/3.57/1000</f>
        <v>0</v>
      </c>
      <c r="N5" s="66">
        <f>K5*'Produzione Biogas'!$P5/3.57/1000</f>
        <v>0</v>
      </c>
      <c r="O5" s="66">
        <f t="shared" si="4"/>
        <v>0</v>
      </c>
      <c r="P5" s="42">
        <f t="shared" ref="P5:P9" si="9">M5*1000/7200*0.35</f>
        <v>0</v>
      </c>
      <c r="Q5" s="42">
        <f t="shared" ref="Q5:Q9" si="10">N5*1000/7200*0.35</f>
        <v>0</v>
      </c>
      <c r="R5" s="42">
        <f t="shared" si="5"/>
        <v>0</v>
      </c>
      <c r="S5" s="30">
        <f t="shared" si="6"/>
        <v>0</v>
      </c>
      <c r="T5" s="30">
        <f t="shared" si="7"/>
        <v>0</v>
      </c>
      <c r="U5" s="30">
        <f t="shared" si="8"/>
        <v>0</v>
      </c>
      <c r="V5" s="10"/>
      <c r="W5" s="10"/>
    </row>
    <row r="6" spans="1:23" ht="28.05" customHeight="1" x14ac:dyDescent="0.25">
      <c r="A6" s="43" t="s">
        <v>118</v>
      </c>
      <c r="B6" s="44">
        <f>SUM(B3:B5)</f>
        <v>0</v>
      </c>
      <c r="C6" s="44" t="s">
        <v>23</v>
      </c>
      <c r="D6" s="67" t="s">
        <v>23</v>
      </c>
      <c r="E6" s="67" t="s">
        <v>23</v>
      </c>
      <c r="F6" s="67"/>
      <c r="G6" s="67">
        <f>SUM(G3:G5)</f>
        <v>0</v>
      </c>
      <c r="H6" s="67">
        <f t="shared" ref="H6:Q6" si="11">SUM(H3:H5)</f>
        <v>0</v>
      </c>
      <c r="I6" s="44">
        <f t="shared" si="2"/>
        <v>0</v>
      </c>
      <c r="J6" s="44">
        <f t="shared" si="11"/>
        <v>0</v>
      </c>
      <c r="K6" s="44">
        <f t="shared" si="11"/>
        <v>0</v>
      </c>
      <c r="L6" s="44">
        <f t="shared" si="3"/>
        <v>0</v>
      </c>
      <c r="M6" s="67">
        <f t="shared" si="11"/>
        <v>0</v>
      </c>
      <c r="N6" s="67">
        <f t="shared" si="11"/>
        <v>0</v>
      </c>
      <c r="O6" s="67">
        <f t="shared" si="4"/>
        <v>0</v>
      </c>
      <c r="P6" s="44">
        <f t="shared" si="11"/>
        <v>0</v>
      </c>
      <c r="Q6" s="44">
        <f t="shared" si="11"/>
        <v>0</v>
      </c>
      <c r="R6" s="44">
        <f t="shared" si="5"/>
        <v>0</v>
      </c>
      <c r="S6" s="44">
        <f t="shared" ref="S6:S11" si="12">P6</f>
        <v>0</v>
      </c>
      <c r="T6" s="44">
        <f t="shared" ref="T6:T11" si="13">Q6</f>
        <v>0</v>
      </c>
      <c r="U6" s="44">
        <f t="shared" ref="U6:U11" si="14">R6</f>
        <v>0</v>
      </c>
      <c r="V6" s="29"/>
      <c r="W6" s="29"/>
    </row>
    <row r="7" spans="1:23" ht="28.05" customHeight="1" x14ac:dyDescent="0.25">
      <c r="A7" s="29" t="s">
        <v>81</v>
      </c>
      <c r="B7" s="30">
        <f>Base!B25*'Produzione Biogas'!B6</f>
        <v>0</v>
      </c>
      <c r="C7" s="30">
        <v>30</v>
      </c>
      <c r="D7" s="65" t="s">
        <v>23</v>
      </c>
      <c r="E7" s="65" t="s">
        <v>23</v>
      </c>
      <c r="F7" s="65"/>
      <c r="G7" s="65">
        <f>B7*'Produzione Biogas'!F6/100</f>
        <v>0</v>
      </c>
      <c r="H7" s="65">
        <f>B7*'Produzione Biogas'!H6/100</f>
        <v>0</v>
      </c>
      <c r="I7" s="30">
        <f t="shared" si="2"/>
        <v>0</v>
      </c>
      <c r="J7" s="30">
        <f>G7*'Produzione Biogas'!J6</f>
        <v>0</v>
      </c>
      <c r="K7" s="30">
        <f>H7*'Produzione Biogas'!L6</f>
        <v>0</v>
      </c>
      <c r="L7" s="30">
        <f t="shared" si="3"/>
        <v>0</v>
      </c>
      <c r="M7" s="65">
        <f>J7*'Produzione Biogas'!$P6/3.57/1000</f>
        <v>0</v>
      </c>
      <c r="N7" s="65">
        <f>K7*'Produzione Biogas'!$P6/3.57/1000</f>
        <v>0</v>
      </c>
      <c r="O7" s="65">
        <f t="shared" si="4"/>
        <v>0</v>
      </c>
      <c r="P7" s="30">
        <f t="shared" si="9"/>
        <v>0</v>
      </c>
      <c r="Q7" s="30">
        <f t="shared" si="10"/>
        <v>0</v>
      </c>
      <c r="R7" s="30">
        <f t="shared" si="5"/>
        <v>0</v>
      </c>
      <c r="S7" s="30">
        <f t="shared" si="12"/>
        <v>0</v>
      </c>
      <c r="T7" s="30">
        <f t="shared" si="13"/>
        <v>0</v>
      </c>
      <c r="U7" s="30">
        <f t="shared" si="14"/>
        <v>0</v>
      </c>
      <c r="V7" s="10"/>
      <c r="W7" s="10"/>
    </row>
    <row r="8" spans="1:23" ht="28.05" customHeight="1" x14ac:dyDescent="0.25">
      <c r="A8" s="29" t="s">
        <v>82</v>
      </c>
      <c r="B8" s="30">
        <f>Base!B24*'Produzione Biogas'!B7</f>
        <v>0</v>
      </c>
      <c r="C8" s="30"/>
      <c r="D8" s="65" t="s">
        <v>23</v>
      </c>
      <c r="E8" s="65" t="s">
        <v>23</v>
      </c>
      <c r="F8" s="65"/>
      <c r="G8" s="65">
        <f>B8*'Produzione Biogas'!F7/100</f>
        <v>0</v>
      </c>
      <c r="H8" s="65">
        <f>B8*'Produzione Biogas'!H7/100</f>
        <v>0</v>
      </c>
      <c r="I8" s="30">
        <f t="shared" si="2"/>
        <v>0</v>
      </c>
      <c r="J8" s="30">
        <f>G8*'Produzione Biogas'!J7</f>
        <v>0</v>
      </c>
      <c r="K8" s="30">
        <f>H8*'Produzione Biogas'!L7</f>
        <v>0</v>
      </c>
      <c r="L8" s="30">
        <f t="shared" si="3"/>
        <v>0</v>
      </c>
      <c r="M8" s="65">
        <f>J8*'Produzione Biogas'!$P7/3.57/1000</f>
        <v>0</v>
      </c>
      <c r="N8" s="65">
        <f>K8*'Produzione Biogas'!$P7/3.57/1000</f>
        <v>0</v>
      </c>
      <c r="O8" s="65">
        <f t="shared" si="4"/>
        <v>0</v>
      </c>
      <c r="P8" s="30">
        <f t="shared" si="9"/>
        <v>0</v>
      </c>
      <c r="Q8" s="30">
        <f t="shared" si="10"/>
        <v>0</v>
      </c>
      <c r="R8" s="30">
        <f t="shared" si="5"/>
        <v>0</v>
      </c>
      <c r="S8" s="30">
        <f t="shared" si="12"/>
        <v>0</v>
      </c>
      <c r="T8" s="30">
        <f t="shared" si="13"/>
        <v>0</v>
      </c>
      <c r="U8" s="30">
        <f t="shared" si="14"/>
        <v>0</v>
      </c>
      <c r="V8" s="10"/>
      <c r="W8" s="10"/>
    </row>
    <row r="9" spans="1:23" ht="28.05" customHeight="1" x14ac:dyDescent="0.25">
      <c r="A9" s="29" t="s">
        <v>83</v>
      </c>
      <c r="B9" s="30">
        <f>Base!B23*'Produzione Biogas'!B8</f>
        <v>0</v>
      </c>
      <c r="C9" s="30">
        <v>60</v>
      </c>
      <c r="D9" s="65" t="s">
        <v>23</v>
      </c>
      <c r="E9" s="65" t="s">
        <v>23</v>
      </c>
      <c r="F9" s="65"/>
      <c r="G9" s="65">
        <f>B9*'Produzione Biogas'!F8/100</f>
        <v>0</v>
      </c>
      <c r="H9" s="65">
        <f>B9*'Produzione Biogas'!H8/100</f>
        <v>0</v>
      </c>
      <c r="I9" s="30">
        <f t="shared" si="2"/>
        <v>0</v>
      </c>
      <c r="J9" s="30">
        <f>G9*'Produzione Biogas'!J8</f>
        <v>0</v>
      </c>
      <c r="K9" s="30">
        <f>H9*'Produzione Biogas'!L8</f>
        <v>0</v>
      </c>
      <c r="L9" s="30">
        <f t="shared" si="3"/>
        <v>0</v>
      </c>
      <c r="M9" s="65">
        <f>J9*'Produzione Biogas'!$P8/3.57/1000</f>
        <v>0</v>
      </c>
      <c r="N9" s="65">
        <f>K9*'Produzione Biogas'!$P8/3.57/1000</f>
        <v>0</v>
      </c>
      <c r="O9" s="65">
        <f t="shared" si="4"/>
        <v>0</v>
      </c>
      <c r="P9" s="30">
        <f t="shared" si="9"/>
        <v>0</v>
      </c>
      <c r="Q9" s="30">
        <f t="shared" si="10"/>
        <v>0</v>
      </c>
      <c r="R9" s="30">
        <f t="shared" si="5"/>
        <v>0</v>
      </c>
      <c r="S9" s="30">
        <f t="shared" si="12"/>
        <v>0</v>
      </c>
      <c r="T9" s="30">
        <f t="shared" si="13"/>
        <v>0</v>
      </c>
      <c r="U9" s="30">
        <f t="shared" si="14"/>
        <v>0</v>
      </c>
      <c r="V9" s="10"/>
      <c r="W9" s="10"/>
    </row>
    <row r="10" spans="1:23" ht="28.05" customHeight="1" x14ac:dyDescent="0.25">
      <c r="A10" s="32" t="s">
        <v>119</v>
      </c>
      <c r="B10" s="44">
        <f>SUM(B7:B9)</f>
        <v>0</v>
      </c>
      <c r="C10" s="44" t="s">
        <v>23</v>
      </c>
      <c r="D10" s="67" t="s">
        <v>23</v>
      </c>
      <c r="E10" s="67" t="s">
        <v>23</v>
      </c>
      <c r="F10" s="67"/>
      <c r="G10" s="67">
        <f>SUM(G7:G9)</f>
        <v>0</v>
      </c>
      <c r="H10" s="67">
        <f t="shared" ref="H10:Q10" si="15">SUM(H7:H9)</f>
        <v>0</v>
      </c>
      <c r="I10" s="44">
        <f t="shared" si="2"/>
        <v>0</v>
      </c>
      <c r="J10" s="44">
        <f t="shared" si="15"/>
        <v>0</v>
      </c>
      <c r="K10" s="44">
        <f t="shared" si="15"/>
        <v>0</v>
      </c>
      <c r="L10" s="44">
        <f t="shared" si="3"/>
        <v>0</v>
      </c>
      <c r="M10" s="67">
        <f t="shared" si="15"/>
        <v>0</v>
      </c>
      <c r="N10" s="67">
        <f t="shared" si="15"/>
        <v>0</v>
      </c>
      <c r="O10" s="67">
        <f t="shared" si="4"/>
        <v>0</v>
      </c>
      <c r="P10" s="44">
        <f t="shared" si="15"/>
        <v>0</v>
      </c>
      <c r="Q10" s="44">
        <f t="shared" si="15"/>
        <v>0</v>
      </c>
      <c r="R10" s="44">
        <f t="shared" si="5"/>
        <v>0</v>
      </c>
      <c r="S10" s="44">
        <f t="shared" si="12"/>
        <v>0</v>
      </c>
      <c r="T10" s="44">
        <f t="shared" si="13"/>
        <v>0</v>
      </c>
      <c r="U10" s="44">
        <f t="shared" si="14"/>
        <v>0</v>
      </c>
      <c r="V10" s="29"/>
      <c r="W10" s="29"/>
    </row>
    <row r="11" spans="1:23" ht="28.05" customHeight="1" thickBot="1" x14ac:dyDescent="0.3">
      <c r="A11" s="45" t="s">
        <v>24</v>
      </c>
      <c r="B11" s="37" t="s">
        <v>23</v>
      </c>
      <c r="C11" s="37" t="s">
        <v>23</v>
      </c>
      <c r="D11" s="68" t="s">
        <v>23</v>
      </c>
      <c r="E11" s="68" t="s">
        <v>23</v>
      </c>
      <c r="F11" s="68"/>
      <c r="G11" s="68">
        <f>G6+G10</f>
        <v>0</v>
      </c>
      <c r="H11" s="68">
        <f t="shared" ref="H11:Q11" si="16">H6+H10</f>
        <v>0</v>
      </c>
      <c r="I11" s="46">
        <f t="shared" si="2"/>
        <v>0</v>
      </c>
      <c r="J11" s="46">
        <f t="shared" si="16"/>
        <v>0</v>
      </c>
      <c r="K11" s="46">
        <f t="shared" si="16"/>
        <v>0</v>
      </c>
      <c r="L11" s="46">
        <f t="shared" si="3"/>
        <v>0</v>
      </c>
      <c r="M11" s="68">
        <f t="shared" si="16"/>
        <v>0</v>
      </c>
      <c r="N11" s="68">
        <f t="shared" si="16"/>
        <v>0</v>
      </c>
      <c r="O11" s="68">
        <f t="shared" si="4"/>
        <v>0</v>
      </c>
      <c r="P11" s="46">
        <f t="shared" si="16"/>
        <v>0</v>
      </c>
      <c r="Q11" s="46">
        <f t="shared" si="16"/>
        <v>0</v>
      </c>
      <c r="R11" s="46">
        <f t="shared" si="5"/>
        <v>0</v>
      </c>
      <c r="S11" s="46">
        <f t="shared" si="12"/>
        <v>0</v>
      </c>
      <c r="T11" s="46">
        <f t="shared" si="13"/>
        <v>0</v>
      </c>
      <c r="U11" s="46">
        <f t="shared" si="14"/>
        <v>0</v>
      </c>
      <c r="V11" s="10"/>
      <c r="W11" s="10"/>
    </row>
    <row r="12" spans="1:23" ht="13.8" thickTop="1" x14ac:dyDescent="0.25">
      <c r="J12" s="10"/>
      <c r="K12" s="10"/>
      <c r="L12" s="29"/>
      <c r="M12" s="10"/>
      <c r="N12" s="10"/>
      <c r="O12" s="29"/>
      <c r="P12" s="10"/>
      <c r="Q12" s="10"/>
      <c r="R12" s="10"/>
      <c r="S12" s="10"/>
      <c r="T12" s="10"/>
      <c r="U12" s="10"/>
      <c r="V12" s="10"/>
      <c r="W12" s="10"/>
    </row>
    <row r="13" spans="1:23" x14ac:dyDescent="0.25">
      <c r="J13" s="10"/>
      <c r="K13" s="10"/>
      <c r="L13" s="29"/>
      <c r="M13" s="10"/>
      <c r="N13" s="10"/>
      <c r="O13" s="29"/>
      <c r="P13" s="10"/>
      <c r="Q13" s="10"/>
      <c r="R13" s="10"/>
      <c r="S13" s="10"/>
      <c r="T13" s="10"/>
      <c r="U13" s="10"/>
      <c r="V13" s="10"/>
      <c r="W13" s="10"/>
    </row>
    <row r="14" spans="1:23" x14ac:dyDescent="0.25">
      <c r="J14" s="10"/>
      <c r="K14" s="10"/>
      <c r="L14" s="29"/>
      <c r="M14" s="10"/>
      <c r="N14" s="10"/>
      <c r="O14" s="29"/>
      <c r="P14" s="10"/>
      <c r="Q14" s="10"/>
      <c r="R14" s="10"/>
      <c r="S14" s="10"/>
      <c r="T14" s="10"/>
      <c r="U14" s="10"/>
      <c r="V14" s="10"/>
      <c r="W14" s="10"/>
    </row>
    <row r="15" spans="1:23" x14ac:dyDescent="0.25">
      <c r="B15" s="76"/>
      <c r="J15" s="10"/>
      <c r="K15" s="10"/>
      <c r="L15" s="29"/>
      <c r="M15" s="10"/>
      <c r="N15" s="10"/>
      <c r="O15" s="29"/>
      <c r="P15" s="10"/>
      <c r="Q15" s="10"/>
      <c r="R15" s="10"/>
      <c r="S15" s="10"/>
      <c r="T15" s="10"/>
      <c r="U15" s="10"/>
      <c r="V15" s="10"/>
      <c r="W15" s="10"/>
    </row>
    <row r="16" spans="1:23" x14ac:dyDescent="0.25">
      <c r="J16" s="10"/>
      <c r="K16" s="10"/>
      <c r="L16" s="29"/>
      <c r="M16" s="10"/>
      <c r="N16" s="10"/>
      <c r="O16" s="29"/>
      <c r="P16" s="10"/>
      <c r="Q16" s="10"/>
      <c r="R16" s="10"/>
      <c r="S16" s="10"/>
      <c r="T16" s="10"/>
      <c r="U16" s="10"/>
      <c r="V16" s="10"/>
      <c r="W16" s="10"/>
    </row>
    <row r="17" spans="2:23" x14ac:dyDescent="0.25">
      <c r="G17" s="10"/>
      <c r="J17" s="10"/>
      <c r="K17" s="10"/>
      <c r="L17" s="29"/>
      <c r="M17" s="10"/>
      <c r="N17" s="10"/>
      <c r="O17" s="29"/>
      <c r="P17" s="10"/>
      <c r="Q17" s="10"/>
      <c r="R17" s="10"/>
      <c r="S17" s="10"/>
      <c r="T17" s="10"/>
      <c r="U17" s="10"/>
      <c r="V17" s="10"/>
      <c r="W17" s="10"/>
    </row>
    <row r="18" spans="2:23" x14ac:dyDescent="0.25">
      <c r="B18" s="76"/>
      <c r="J18" s="10"/>
      <c r="K18" s="10"/>
      <c r="L18" s="29"/>
      <c r="M18" s="10"/>
      <c r="N18" s="10"/>
      <c r="O18" s="29"/>
      <c r="P18" s="10"/>
      <c r="Q18" s="10"/>
      <c r="R18" s="10"/>
      <c r="S18" s="10"/>
      <c r="T18" s="10"/>
      <c r="U18" s="10"/>
      <c r="V18" s="10"/>
      <c r="W18" s="10"/>
    </row>
    <row r="19" spans="2:23" x14ac:dyDescent="0.25">
      <c r="J19" s="10"/>
      <c r="K19" s="10"/>
      <c r="L19" s="29"/>
      <c r="M19" s="10"/>
      <c r="N19" s="10"/>
      <c r="O19" s="29"/>
      <c r="P19" s="10"/>
      <c r="Q19" s="10"/>
      <c r="R19" s="10"/>
      <c r="S19" s="10"/>
      <c r="T19" s="10"/>
      <c r="U19" s="10"/>
      <c r="V19" s="10"/>
      <c r="W19" s="10"/>
    </row>
    <row r="20" spans="2:23" x14ac:dyDescent="0.25">
      <c r="J20" s="10"/>
      <c r="K20" s="10"/>
      <c r="L20" s="29"/>
      <c r="M20" s="10"/>
      <c r="N20" s="10"/>
      <c r="O20" s="29"/>
      <c r="P20" s="10"/>
      <c r="Q20" s="10"/>
      <c r="R20" s="10"/>
      <c r="S20" s="10"/>
      <c r="T20" s="10"/>
      <c r="U20" s="10"/>
      <c r="V20" s="10"/>
      <c r="W20" s="10"/>
    </row>
    <row r="21" spans="2:23" x14ac:dyDescent="0.25">
      <c r="J21" s="10"/>
      <c r="K21" s="10"/>
      <c r="L21" s="29"/>
      <c r="M21" s="10"/>
      <c r="N21" s="10"/>
      <c r="O21" s="29"/>
      <c r="P21" s="10"/>
      <c r="Q21" s="10"/>
      <c r="R21" s="10"/>
      <c r="S21" s="10"/>
      <c r="T21" s="10"/>
      <c r="U21" s="10"/>
      <c r="V21" s="10"/>
      <c r="W21" s="10"/>
    </row>
    <row r="22" spans="2:23" x14ac:dyDescent="0.25">
      <c r="J22" s="10"/>
      <c r="K22" s="10"/>
      <c r="L22" s="29"/>
      <c r="M22" s="10"/>
      <c r="N22" s="10"/>
      <c r="O22" s="29"/>
      <c r="P22" s="10"/>
      <c r="Q22" s="10"/>
      <c r="R22" s="10"/>
      <c r="S22" s="10"/>
      <c r="T22" s="10"/>
      <c r="U22" s="10"/>
      <c r="V22" s="10"/>
      <c r="W22" s="10"/>
    </row>
  </sheetData>
  <mergeCells count="9">
    <mergeCell ref="S1:U1"/>
    <mergeCell ref="J1:L1"/>
    <mergeCell ref="M1:O1"/>
    <mergeCell ref="P1:R1"/>
    <mergeCell ref="A1:A2"/>
    <mergeCell ref="B1:B2"/>
    <mergeCell ref="C1:C2"/>
    <mergeCell ref="D1:F1"/>
    <mergeCell ref="G1:I1"/>
  </mergeCells>
  <pageMargins left="0.75" right="0.75" top="1" bottom="1" header="0.5" footer="0.5"/>
  <pageSetup paperSize="9" orientation="portrait" horizontalDpi="4294967292" verticalDpi="4294967292"/>
  <ignoredErrors>
    <ignoredError sqref="B9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E6" sqref="E6"/>
    </sheetView>
  </sheetViews>
  <sheetFormatPr defaultColWidth="11.44140625" defaultRowHeight="13.2" x14ac:dyDescent="0.25"/>
  <cols>
    <col min="1" max="1" width="21" bestFit="1" customWidth="1"/>
    <col min="2" max="2" width="16.33203125" customWidth="1"/>
  </cols>
  <sheetData>
    <row r="1" spans="1:4" ht="28.05" customHeight="1" thickTop="1" x14ac:dyDescent="0.25">
      <c r="A1" s="90" t="s">
        <v>14</v>
      </c>
      <c r="B1" s="98"/>
      <c r="C1" s="28"/>
      <c r="D1" s="28"/>
    </row>
    <row r="2" spans="1:4" ht="28.05" customHeight="1" x14ac:dyDescent="0.25">
      <c r="A2" s="47" t="s">
        <v>143</v>
      </c>
      <c r="B2" s="47" t="s">
        <v>144</v>
      </c>
      <c r="C2" s="28"/>
      <c r="D2" s="28"/>
    </row>
    <row r="3" spans="1:4" ht="28.05" customHeight="1" x14ac:dyDescent="0.25">
      <c r="A3" s="48" t="s">
        <v>17</v>
      </c>
      <c r="B3" s="48">
        <v>9000</v>
      </c>
      <c r="C3" s="28"/>
      <c r="D3" s="28"/>
    </row>
    <row r="4" spans="1:4" ht="28.05" customHeight="1" x14ac:dyDescent="0.25">
      <c r="A4" s="48" t="s">
        <v>18</v>
      </c>
      <c r="B4" s="48">
        <v>7000</v>
      </c>
      <c r="C4" s="28"/>
      <c r="D4" s="28"/>
    </row>
    <row r="5" spans="1:4" ht="28.05" customHeight="1" x14ac:dyDescent="0.25">
      <c r="A5" s="48" t="s">
        <v>19</v>
      </c>
      <c r="B5" s="48">
        <v>5000</v>
      </c>
      <c r="C5" s="28"/>
      <c r="D5" s="28"/>
    </row>
    <row r="6" spans="1:4" ht="28.05" customHeight="1" x14ac:dyDescent="0.25">
      <c r="A6" s="48" t="s">
        <v>20</v>
      </c>
      <c r="B6" s="48">
        <v>4500</v>
      </c>
      <c r="C6" s="28"/>
      <c r="D6" s="28"/>
    </row>
    <row r="7" spans="1:4" ht="28.05" customHeight="1" thickBot="1" x14ac:dyDescent="0.3">
      <c r="A7" s="49" t="s">
        <v>21</v>
      </c>
      <c r="B7" s="49">
        <v>4000</v>
      </c>
      <c r="C7" s="28"/>
      <c r="D7" s="28"/>
    </row>
    <row r="8" spans="1:4" ht="18" thickTop="1" x14ac:dyDescent="0.25">
      <c r="A8" s="28"/>
      <c r="B8" s="28"/>
      <c r="C8" s="28"/>
      <c r="D8" s="28"/>
    </row>
    <row r="9" spans="1:4" ht="17.399999999999999" x14ac:dyDescent="0.25">
      <c r="A9" s="28"/>
      <c r="B9" s="28"/>
      <c r="C9" s="28"/>
      <c r="D9" s="28"/>
    </row>
    <row r="10" spans="1:4" ht="17.399999999999999" x14ac:dyDescent="0.25">
      <c r="A10" s="28"/>
      <c r="B10" s="28"/>
      <c r="C10" s="28"/>
      <c r="D10" s="28"/>
    </row>
    <row r="11" spans="1:4" ht="17.399999999999999" x14ac:dyDescent="0.25">
      <c r="A11" s="28"/>
      <c r="B11" s="28"/>
      <c r="C11" s="28"/>
      <c r="D11" s="28"/>
    </row>
    <row r="12" spans="1:4" ht="17.399999999999999" x14ac:dyDescent="0.25">
      <c r="A12" s="28"/>
      <c r="B12" s="28"/>
      <c r="C12" s="28"/>
      <c r="D12" s="28"/>
    </row>
    <row r="13" spans="1:4" ht="17.399999999999999" x14ac:dyDescent="0.25">
      <c r="A13" s="28"/>
      <c r="B13" s="28"/>
      <c r="C13" s="28"/>
      <c r="D13" s="28"/>
    </row>
    <row r="14" spans="1:4" ht="17.399999999999999" x14ac:dyDescent="0.25">
      <c r="A14" s="28"/>
      <c r="B14" s="28"/>
      <c r="C14" s="28"/>
      <c r="D14" s="28"/>
    </row>
    <row r="15" spans="1:4" ht="17.399999999999999" x14ac:dyDescent="0.25">
      <c r="A15" s="28"/>
      <c r="B15" s="28"/>
      <c r="C15" s="28"/>
      <c r="D15" s="28"/>
    </row>
    <row r="16" spans="1:4" ht="17.399999999999999" x14ac:dyDescent="0.25">
      <c r="A16" s="28"/>
      <c r="B16" s="28"/>
      <c r="C16" s="28"/>
      <c r="D16" s="28"/>
    </row>
  </sheetData>
  <mergeCells count="1">
    <mergeCell ref="A1:B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C14" sqref="C14"/>
    </sheetView>
  </sheetViews>
  <sheetFormatPr defaultColWidth="11.44140625" defaultRowHeight="17.399999999999999" x14ac:dyDescent="0.25"/>
  <cols>
    <col min="1" max="1" width="20.44140625" style="15" bestFit="1" customWidth="1"/>
    <col min="2" max="2" width="34.109375" style="15" bestFit="1" customWidth="1"/>
    <col min="3" max="3" width="21" style="15" bestFit="1" customWidth="1"/>
    <col min="4" max="4" width="28.33203125" style="15" bestFit="1" customWidth="1"/>
    <col min="5" max="16384" width="11.44140625" style="15"/>
  </cols>
  <sheetData>
    <row r="1" spans="1:5" ht="28.05" customHeight="1" thickTop="1" x14ac:dyDescent="0.25">
      <c r="A1" s="74" t="s">
        <v>147</v>
      </c>
      <c r="B1" s="74" t="s">
        <v>145</v>
      </c>
      <c r="C1" s="74" t="s">
        <v>143</v>
      </c>
      <c r="D1" s="74" t="s">
        <v>146</v>
      </c>
      <c r="E1" s="28"/>
    </row>
    <row r="2" spans="1:5" ht="28.05" customHeight="1" x14ac:dyDescent="0.25">
      <c r="A2" s="106" t="s">
        <v>44</v>
      </c>
      <c r="B2" s="106" t="s">
        <v>148</v>
      </c>
      <c r="C2" s="75" t="s">
        <v>138</v>
      </c>
      <c r="D2" s="27">
        <v>180</v>
      </c>
      <c r="E2" s="28"/>
    </row>
    <row r="3" spans="1:5" ht="28.05" customHeight="1" x14ac:dyDescent="0.25">
      <c r="A3" s="107"/>
      <c r="B3" s="107"/>
      <c r="C3" s="48" t="s">
        <v>139</v>
      </c>
      <c r="D3" s="28">
        <v>160</v>
      </c>
      <c r="E3" s="28"/>
    </row>
    <row r="4" spans="1:5" ht="28.05" customHeight="1" x14ac:dyDescent="0.25">
      <c r="A4" s="107"/>
      <c r="B4" s="107"/>
      <c r="C4" s="48" t="s">
        <v>140</v>
      </c>
      <c r="D4" s="28">
        <v>140</v>
      </c>
      <c r="E4" s="28"/>
    </row>
    <row r="5" spans="1:5" ht="28.05" customHeight="1" x14ac:dyDescent="0.25">
      <c r="A5" s="107"/>
      <c r="B5" s="107"/>
      <c r="C5" s="48" t="s">
        <v>141</v>
      </c>
      <c r="D5" s="28">
        <v>104</v>
      </c>
      <c r="E5" s="28"/>
    </row>
    <row r="6" spans="1:5" ht="28.05" customHeight="1" x14ac:dyDescent="0.25">
      <c r="A6" s="107"/>
      <c r="B6" s="107"/>
      <c r="C6" s="48" t="s">
        <v>142</v>
      </c>
      <c r="D6" s="28">
        <v>91</v>
      </c>
      <c r="E6" s="28"/>
    </row>
    <row r="7" spans="1:5" ht="28.05" customHeight="1" x14ac:dyDescent="0.25">
      <c r="A7" s="107"/>
      <c r="B7" s="107" t="s">
        <v>149</v>
      </c>
      <c r="C7" s="48" t="s">
        <v>138</v>
      </c>
      <c r="D7" s="28">
        <v>236</v>
      </c>
      <c r="E7" s="28"/>
    </row>
    <row r="8" spans="1:5" ht="28.05" customHeight="1" x14ac:dyDescent="0.25">
      <c r="A8" s="107"/>
      <c r="B8" s="107"/>
      <c r="C8" s="48" t="s">
        <v>139</v>
      </c>
      <c r="D8" s="28">
        <v>206</v>
      </c>
      <c r="E8" s="28"/>
    </row>
    <row r="9" spans="1:5" ht="28.05" customHeight="1" x14ac:dyDescent="0.25">
      <c r="A9" s="107"/>
      <c r="B9" s="107"/>
      <c r="C9" s="48" t="s">
        <v>140</v>
      </c>
      <c r="D9" s="28">
        <v>178</v>
      </c>
      <c r="E9" s="28"/>
    </row>
    <row r="10" spans="1:5" ht="28.05" customHeight="1" x14ac:dyDescent="0.25">
      <c r="A10" s="107"/>
      <c r="B10" s="107"/>
      <c r="C10" s="48" t="s">
        <v>141</v>
      </c>
      <c r="D10" s="28">
        <v>125</v>
      </c>
      <c r="E10" s="28"/>
    </row>
    <row r="11" spans="1:5" ht="28.05" customHeight="1" thickBot="1" x14ac:dyDescent="0.3">
      <c r="A11" s="108"/>
      <c r="B11" s="108"/>
      <c r="C11" s="49" t="s">
        <v>142</v>
      </c>
      <c r="D11" s="19">
        <v>101</v>
      </c>
      <c r="E11" s="28"/>
    </row>
    <row r="12" spans="1:5" ht="18" thickTop="1" x14ac:dyDescent="0.25">
      <c r="C12" s="28"/>
      <c r="D12" s="28"/>
      <c r="E12" s="28"/>
    </row>
    <row r="13" spans="1:5" x14ac:dyDescent="0.25">
      <c r="C13" s="28"/>
      <c r="D13" s="28"/>
      <c r="E13" s="28"/>
    </row>
    <row r="14" spans="1:5" x14ac:dyDescent="0.25">
      <c r="C14" s="28"/>
      <c r="D14" s="28"/>
      <c r="E14" s="28"/>
    </row>
    <row r="15" spans="1:5" x14ac:dyDescent="0.25">
      <c r="C15" s="28"/>
      <c r="D15" s="28"/>
      <c r="E15" s="28"/>
    </row>
  </sheetData>
  <mergeCells count="3">
    <mergeCell ref="B2:B6"/>
    <mergeCell ref="B7:B11"/>
    <mergeCell ref="A2:A1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Base</vt:lpstr>
      <vt:lpstr>Valutazione economica</vt:lpstr>
      <vt:lpstr>Peso animali</vt:lpstr>
      <vt:lpstr>Deiezioni Bovini</vt:lpstr>
      <vt:lpstr>Produzione Biogas</vt:lpstr>
      <vt:lpstr>Tecnico</vt:lpstr>
      <vt:lpstr>Costo investimento</vt:lpstr>
      <vt:lpstr>Tariffe incentivanti base</vt:lpstr>
    </vt:vector>
  </TitlesOfParts>
  <Company>Università degli Studi di Udine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Dell'Antonia</dc:creator>
  <cp:lastModifiedBy> </cp:lastModifiedBy>
  <cp:lastPrinted>2013-07-08T14:22:39Z</cp:lastPrinted>
  <dcterms:created xsi:type="dcterms:W3CDTF">2013-06-17T13:22:22Z</dcterms:created>
  <dcterms:modified xsi:type="dcterms:W3CDTF">2015-01-28T09:57:30Z</dcterms:modified>
</cp:coreProperties>
</file>